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filterPrivacy="1" defaultThemeVersion="124226"/>
  <bookViews>
    <workbookView xWindow="240" yWindow="105" windowWidth="14805" windowHeight="8010" activeTab="3"/>
  </bookViews>
  <sheets>
    <sheet name="Bruto bilans" sheetId="3" r:id="rId1"/>
    <sheet name="BILANS STANJA" sheetId="1" r:id="rId2"/>
    <sheet name="BILANS USPJEHA" sheetId="2" r:id="rId3"/>
    <sheet name="Promjena na kapitalu" sheetId="4" r:id="rId4"/>
  </sheets>
  <externalReferences>
    <externalReference r:id="rId5"/>
    <externalReference r:id="rId6"/>
  </externalReferences>
  <calcPr calcId="162913"/>
</workbook>
</file>

<file path=xl/calcChain.xml><?xml version="1.0" encoding="utf-8"?>
<calcChain xmlns="http://schemas.openxmlformats.org/spreadsheetml/2006/main">
  <c r="G252" i="3" l="1"/>
  <c r="E253" i="3"/>
  <c r="L271" i="3"/>
  <c r="L53" i="3"/>
  <c r="L52" i="3"/>
  <c r="L291" i="3" l="1"/>
  <c r="L43" i="3"/>
  <c r="M102" i="3" l="1"/>
  <c r="D56" i="1" l="1"/>
  <c r="K147" i="3" l="1"/>
  <c r="F233" i="3" l="1"/>
  <c r="I246" i="3" l="1"/>
  <c r="J106" i="1"/>
  <c r="D106" i="1" s="1"/>
  <c r="G106" i="3"/>
  <c r="G44" i="3"/>
  <c r="G42" i="3"/>
  <c r="G154" i="3" l="1"/>
  <c r="G246" i="3" l="1"/>
  <c r="G130" i="3" l="1"/>
  <c r="B39" i="4" l="1"/>
  <c r="B126" i="2"/>
  <c r="G265" i="3"/>
  <c r="G89" i="3" l="1"/>
  <c r="L24" i="4" l="1"/>
  <c r="L152" i="3" l="1"/>
  <c r="K149" i="3"/>
  <c r="K151" i="3"/>
  <c r="G127" i="3"/>
  <c r="G125" i="3"/>
  <c r="G126" i="3"/>
  <c r="G128" i="3"/>
  <c r="G129" i="3"/>
  <c r="G46" i="3"/>
  <c r="G132" i="3" l="1"/>
  <c r="B132" i="3"/>
  <c r="G93" i="3"/>
  <c r="B93" i="3"/>
  <c r="G67" i="3"/>
  <c r="G260" i="3" l="1"/>
  <c r="G180" i="3"/>
  <c r="G63" i="3"/>
  <c r="G45" i="3"/>
  <c r="G33" i="3"/>
  <c r="C257" i="3" l="1"/>
  <c r="C7" i="3" s="1"/>
  <c r="D257" i="3"/>
  <c r="G261" i="3"/>
  <c r="L274" i="3" s="1"/>
  <c r="G266" i="3" l="1"/>
  <c r="I57" i="2"/>
  <c r="D57" i="2" s="1"/>
  <c r="G197" i="3"/>
  <c r="G79" i="3"/>
  <c r="G245" i="3" l="1"/>
  <c r="G164" i="3" l="1"/>
  <c r="G92" i="3"/>
  <c r="G87" i="3" l="1"/>
  <c r="G86" i="3"/>
  <c r="G85" i="3"/>
  <c r="G62" i="3"/>
  <c r="G32" i="3"/>
  <c r="D24" i="4"/>
  <c r="G74" i="3"/>
  <c r="G61" i="3"/>
  <c r="G31" i="3"/>
  <c r="M32" i="4"/>
  <c r="M24" i="4" l="1"/>
  <c r="G73" i="3"/>
  <c r="G43" i="3"/>
  <c r="G60" i="3" l="1"/>
  <c r="D35" i="4" l="1"/>
  <c r="L281" i="3" l="1"/>
  <c r="G259" i="3" l="1"/>
  <c r="G263" i="3"/>
  <c r="G267" i="3"/>
  <c r="G269" i="3"/>
  <c r="G271" i="3"/>
  <c r="G275" i="3"/>
  <c r="G258" i="3"/>
  <c r="G277" i="3"/>
  <c r="G273" i="3"/>
  <c r="G272" i="3"/>
  <c r="G268" i="3"/>
  <c r="G264" i="3"/>
  <c r="G278" i="3"/>
  <c r="G276" i="3"/>
  <c r="G274" i="3"/>
  <c r="G270" i="3"/>
  <c r="D233" i="3"/>
  <c r="D7" i="3" s="1"/>
  <c r="C233" i="3"/>
  <c r="D135" i="3"/>
  <c r="C135" i="3"/>
  <c r="L288" i="3" l="1"/>
  <c r="G96" i="3"/>
  <c r="G97" i="3"/>
  <c r="G98" i="3"/>
  <c r="G99" i="3"/>
  <c r="G100" i="3"/>
  <c r="G101" i="3"/>
  <c r="G102" i="3"/>
  <c r="G103" i="3"/>
  <c r="G104" i="3"/>
  <c r="G105" i="3"/>
  <c r="G107" i="3"/>
  <c r="G108" i="3"/>
  <c r="G109" i="3"/>
  <c r="G110" i="3"/>
  <c r="G111" i="3"/>
  <c r="L100" i="3" s="1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31" i="3"/>
  <c r="C95" i="3"/>
  <c r="G133" i="3"/>
  <c r="L101" i="3" s="1"/>
  <c r="F8" i="3"/>
  <c r="N292" i="3" l="1"/>
  <c r="L99" i="3"/>
  <c r="L102" i="3"/>
  <c r="G95" i="3"/>
  <c r="L294" i="3"/>
  <c r="J101" i="1"/>
  <c r="D101" i="1" s="1"/>
  <c r="J107" i="1"/>
  <c r="D107" i="1" s="1"/>
  <c r="L270" i="3"/>
  <c r="D95" i="3"/>
  <c r="E8" i="3"/>
  <c r="G11" i="3"/>
  <c r="G15" i="3"/>
  <c r="G16" i="3"/>
  <c r="G23" i="3"/>
  <c r="G25" i="3"/>
  <c r="G26" i="3"/>
  <c r="G28" i="3"/>
  <c r="G29" i="3"/>
  <c r="G34" i="3"/>
  <c r="G35" i="3"/>
  <c r="G36" i="3"/>
  <c r="G37" i="3"/>
  <c r="G38" i="3"/>
  <c r="G39" i="3"/>
  <c r="G40" i="3"/>
  <c r="G65" i="3"/>
  <c r="G66" i="3"/>
  <c r="G68" i="3"/>
  <c r="G69" i="3"/>
  <c r="G70" i="3"/>
  <c r="G72" i="3"/>
  <c r="G75" i="3"/>
  <c r="G76" i="3"/>
  <c r="G77" i="3"/>
  <c r="G80" i="3"/>
  <c r="G81" i="3"/>
  <c r="G82" i="3"/>
  <c r="G83" i="3"/>
  <c r="G84" i="3"/>
  <c r="G10" i="3"/>
  <c r="G22" i="3"/>
  <c r="G21" i="3"/>
  <c r="G20" i="3"/>
  <c r="G18" i="3"/>
  <c r="G90" i="3"/>
  <c r="G78" i="3"/>
  <c r="G71" i="3"/>
  <c r="G64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1" i="3"/>
  <c r="L44" i="3" s="1"/>
  <c r="G30" i="3"/>
  <c r="G27" i="3"/>
  <c r="G24" i="3"/>
  <c r="G17" i="3"/>
  <c r="G14" i="3"/>
  <c r="G13" i="3"/>
  <c r="G91" i="3"/>
  <c r="I121" i="2"/>
  <c r="G162" i="3"/>
  <c r="L103" i="3" l="1"/>
  <c r="L42" i="3"/>
  <c r="I81" i="3"/>
  <c r="L48" i="3"/>
  <c r="L50" i="3"/>
  <c r="L49" i="3"/>
  <c r="D8" i="3"/>
  <c r="G19" i="3"/>
  <c r="L45" i="3" l="1"/>
  <c r="L51" i="3"/>
  <c r="G171" i="3" l="1"/>
  <c r="G152" i="3"/>
  <c r="I110" i="2" l="1"/>
  <c r="G145" i="3" l="1"/>
  <c r="G144" i="3"/>
  <c r="G195" i="3" l="1"/>
  <c r="G170" i="3"/>
  <c r="J100" i="1"/>
  <c r="E233" i="3" l="1"/>
  <c r="E7" i="3" s="1"/>
  <c r="F135" i="3"/>
  <c r="E135" i="3"/>
  <c r="E95" i="3"/>
  <c r="G238" i="3" l="1"/>
  <c r="G253" i="3" l="1"/>
  <c r="G243" i="3" l="1"/>
  <c r="G231" i="3"/>
  <c r="G219" i="3"/>
  <c r="G244" i="3"/>
  <c r="G169" i="3"/>
  <c r="G167" i="3"/>
  <c r="G166" i="3"/>
  <c r="G148" i="3"/>
  <c r="F95" i="3"/>
  <c r="L144" i="3" l="1"/>
  <c r="J113" i="1"/>
  <c r="D113" i="1" s="1"/>
  <c r="G240" i="3"/>
  <c r="G236" i="3"/>
  <c r="G235" i="3"/>
  <c r="G168" i="3"/>
  <c r="G153" i="3"/>
  <c r="G151" i="3"/>
  <c r="G149" i="3"/>
  <c r="G140" i="3"/>
  <c r="B70" i="3"/>
  <c r="L139" i="3" l="1"/>
  <c r="K134" i="3"/>
  <c r="B254" i="3"/>
  <c r="G196" i="3"/>
  <c r="B196" i="3"/>
  <c r="G147" i="3"/>
  <c r="B147" i="3"/>
  <c r="B264" i="3"/>
  <c r="B271" i="3"/>
  <c r="I55" i="2" l="1"/>
  <c r="I47" i="2"/>
  <c r="G194" i="3"/>
  <c r="G218" i="3"/>
  <c r="G212" i="3"/>
  <c r="G213" i="3"/>
  <c r="G214" i="3"/>
  <c r="G215" i="3"/>
  <c r="G192" i="3"/>
  <c r="G193" i="3"/>
  <c r="G198" i="3"/>
  <c r="G182" i="3"/>
  <c r="G183" i="3"/>
  <c r="G184" i="3"/>
  <c r="G185" i="3"/>
  <c r="G186" i="3"/>
  <c r="G187" i="3"/>
  <c r="J180" i="3" s="1"/>
  <c r="G137" i="3"/>
  <c r="G138" i="3"/>
  <c r="G139" i="3"/>
  <c r="G142" i="3"/>
  <c r="G143" i="3"/>
  <c r="G150" i="3"/>
  <c r="G155" i="3"/>
  <c r="D120" i="2" l="1"/>
  <c r="I58" i="1"/>
  <c r="D58" i="1" s="1"/>
  <c r="I53" i="1"/>
  <c r="D53" i="1" s="1"/>
  <c r="I52" i="1"/>
  <c r="D52" i="1" s="1"/>
  <c r="I49" i="1"/>
  <c r="I47" i="1"/>
  <c r="I46" i="1"/>
  <c r="D46" i="1" s="1"/>
  <c r="I44" i="1"/>
  <c r="D44" i="1" s="1"/>
  <c r="D43" i="1" s="1"/>
  <c r="I43" i="1"/>
  <c r="I42" i="1"/>
  <c r="D42" i="1" s="1"/>
  <c r="I41" i="1"/>
  <c r="D41" i="1" s="1"/>
  <c r="I40" i="1"/>
  <c r="D40" i="1" s="1"/>
  <c r="I39" i="1"/>
  <c r="I38" i="1"/>
  <c r="D38" i="1" s="1"/>
  <c r="I37" i="1"/>
  <c r="D37" i="1" s="1"/>
  <c r="I36" i="1"/>
  <c r="D36" i="1" s="1"/>
  <c r="I35" i="1"/>
  <c r="D35" i="1" s="1"/>
  <c r="I34" i="1"/>
  <c r="D34" i="1" s="1"/>
  <c r="I33" i="1"/>
  <c r="D33" i="1" s="1"/>
  <c r="I31" i="1"/>
  <c r="D31" i="1" s="1"/>
  <c r="I30" i="1"/>
  <c r="D30" i="1" s="1"/>
  <c r="I29" i="1"/>
  <c r="D29" i="1" s="1"/>
  <c r="I28" i="1"/>
  <c r="D28" i="1" s="1"/>
  <c r="I27" i="1"/>
  <c r="I26" i="1"/>
  <c r="I24" i="1"/>
  <c r="D24" i="1" s="1"/>
  <c r="I23" i="1"/>
  <c r="D23" i="1" s="1"/>
  <c r="I21" i="1"/>
  <c r="D21" i="1" s="1"/>
  <c r="I20" i="1"/>
  <c r="I18" i="1"/>
  <c r="D18" i="1" s="1"/>
  <c r="I16" i="1"/>
  <c r="D16" i="1" s="1"/>
  <c r="G242" i="3"/>
  <c r="G237" i="3"/>
  <c r="G241" i="3"/>
  <c r="G255" i="3"/>
  <c r="G239" i="3"/>
  <c r="G234" i="3"/>
  <c r="G227" i="3"/>
  <c r="G226" i="3"/>
  <c r="G188" i="3"/>
  <c r="G225" i="3"/>
  <c r="G224" i="3"/>
  <c r="G165" i="3"/>
  <c r="G216" i="3"/>
  <c r="G211" i="3"/>
  <c r="G210" i="3"/>
  <c r="G209" i="3"/>
  <c r="G208" i="3"/>
  <c r="G207" i="3"/>
  <c r="G206" i="3"/>
  <c r="G205" i="3"/>
  <c r="G204" i="3"/>
  <c r="G203" i="3"/>
  <c r="G202" i="3"/>
  <c r="G201" i="3"/>
  <c r="G200" i="3"/>
  <c r="G217" i="3"/>
  <c r="G199" i="3"/>
  <c r="G161" i="3"/>
  <c r="G220" i="3"/>
  <c r="G223" i="3"/>
  <c r="G222" i="3"/>
  <c r="G230" i="3"/>
  <c r="G229" i="3"/>
  <c r="G181" i="3"/>
  <c r="G228" i="3"/>
  <c r="G190" i="3"/>
  <c r="G189" i="3"/>
  <c r="G221" i="3"/>
  <c r="G254" i="3"/>
  <c r="G176" i="3"/>
  <c r="G175" i="3"/>
  <c r="G174" i="3"/>
  <c r="G173" i="3"/>
  <c r="G172" i="3"/>
  <c r="G179" i="3"/>
  <c r="G178" i="3"/>
  <c r="G177" i="3"/>
  <c r="G160" i="3"/>
  <c r="G191" i="3"/>
  <c r="G163" i="3"/>
  <c r="G158" i="3"/>
  <c r="G156" i="3"/>
  <c r="G157" i="3"/>
  <c r="G159" i="3"/>
  <c r="G136" i="3"/>
  <c r="I45" i="1"/>
  <c r="D45" i="1" s="1"/>
  <c r="I59" i="1"/>
  <c r="D59" i="1" s="1"/>
  <c r="I19" i="1"/>
  <c r="D19" i="1" s="1"/>
  <c r="I17" i="1"/>
  <c r="D17" i="1" s="1"/>
  <c r="D39" i="1" l="1"/>
  <c r="D15" i="1"/>
  <c r="G233" i="3"/>
  <c r="K152" i="3"/>
  <c r="L154" i="3"/>
  <c r="K154" i="3" s="1"/>
  <c r="K156" i="3" s="1"/>
  <c r="K153" i="3"/>
  <c r="K133" i="3"/>
  <c r="L138" i="3"/>
  <c r="L140" i="3" s="1"/>
  <c r="K132" i="3"/>
  <c r="I57" i="1"/>
  <c r="D57" i="1" s="1"/>
  <c r="I50" i="1"/>
  <c r="D50" i="1" s="1"/>
  <c r="I55" i="1"/>
  <c r="D55" i="1" s="1"/>
  <c r="I25" i="1"/>
  <c r="D25" i="1" s="1"/>
  <c r="E280" i="3" l="1"/>
  <c r="F284" i="3" s="1"/>
  <c r="G280" i="3" s="1"/>
  <c r="G286" i="3" s="1"/>
  <c r="G291" i="3" s="1"/>
  <c r="G294" i="3" s="1"/>
  <c r="L155" i="3"/>
  <c r="K155" i="3"/>
  <c r="J104" i="1"/>
  <c r="D104" i="1" s="1"/>
  <c r="J102" i="1"/>
  <c r="D102" i="1" s="1"/>
  <c r="I54" i="1"/>
  <c r="D54" i="1" s="1"/>
  <c r="I32" i="1"/>
  <c r="D32" i="1" s="1"/>
  <c r="D27" i="1" s="1"/>
  <c r="D26" i="1" s="1"/>
  <c r="D28" i="2"/>
  <c r="D94" i="2"/>
  <c r="I48" i="1"/>
  <c r="D48" i="1" s="1"/>
  <c r="I51" i="1"/>
  <c r="D51" i="1" s="1"/>
  <c r="D49" i="1" s="1"/>
  <c r="D47" i="1" l="1"/>
  <c r="K26" i="1"/>
  <c r="H32" i="1"/>
  <c r="I38" i="2"/>
  <c r="D38" i="2" s="1"/>
  <c r="I33" i="2"/>
  <c r="D33" i="2" s="1"/>
  <c r="I39" i="2"/>
  <c r="D39" i="2" s="1"/>
  <c r="I37" i="2"/>
  <c r="D37" i="2" s="1"/>
  <c r="I40" i="2"/>
  <c r="D40" i="2" s="1"/>
  <c r="D56" i="2"/>
  <c r="E257" i="3" l="1"/>
  <c r="D121" i="2"/>
  <c r="I63" i="2" l="1"/>
  <c r="I76" i="2"/>
  <c r="D76" i="2" s="1"/>
  <c r="I50" i="2"/>
  <c r="D50" i="2" s="1"/>
  <c r="I64" i="2"/>
  <c r="D64" i="2" s="1"/>
  <c r="I87" i="2"/>
  <c r="D87" i="2" s="1"/>
  <c r="I49" i="2"/>
  <c r="D49" i="2" s="1"/>
  <c r="I102" i="2"/>
  <c r="D102" i="2" s="1"/>
  <c r="I107" i="2"/>
  <c r="D107" i="2" s="1"/>
  <c r="D110" i="2"/>
  <c r="I105" i="2"/>
  <c r="D105" i="2" s="1"/>
  <c r="I113" i="2"/>
  <c r="D113" i="2" s="1"/>
  <c r="I84" i="2"/>
  <c r="D84" i="2" s="1"/>
  <c r="I60" i="2"/>
  <c r="D60" i="2" s="1"/>
  <c r="I29" i="2"/>
  <c r="D29" i="2" s="1"/>
  <c r="I20" i="2"/>
  <c r="D20" i="2" s="1"/>
  <c r="I41" i="2"/>
  <c r="D41" i="2" s="1"/>
  <c r="I79" i="2"/>
  <c r="D79" i="2" s="1"/>
  <c r="I26" i="2"/>
  <c r="D26" i="2" s="1"/>
  <c r="I112" i="2"/>
  <c r="D112" i="2" s="1"/>
  <c r="I17" i="2"/>
  <c r="D17" i="2" s="1"/>
  <c r="I61" i="2"/>
  <c r="D61" i="2" s="1"/>
  <c r="I83" i="2"/>
  <c r="I77" i="2"/>
  <c r="D77" i="2" s="1"/>
  <c r="I19" i="2"/>
  <c r="D19" i="2" s="1"/>
  <c r="I109" i="2"/>
  <c r="D109" i="2" s="1"/>
  <c r="I104" i="2"/>
  <c r="D104" i="2" s="1"/>
  <c r="D91" i="2"/>
  <c r="I80" i="2"/>
  <c r="D80" i="2" s="1"/>
  <c r="I24" i="2"/>
  <c r="D24" i="2" s="1"/>
  <c r="I93" i="2"/>
  <c r="D93" i="2" s="1"/>
  <c r="I46" i="2"/>
  <c r="D46" i="2" s="1"/>
  <c r="I23" i="2"/>
  <c r="D23" i="2" s="1"/>
  <c r="I108" i="2"/>
  <c r="D108" i="2" s="1"/>
  <c r="I54" i="2"/>
  <c r="D54" i="2" s="1"/>
  <c r="D55" i="2"/>
  <c r="I62" i="2"/>
  <c r="D62" i="2" s="1"/>
  <c r="I74" i="2"/>
  <c r="D74" i="2" s="1"/>
  <c r="I27" i="2"/>
  <c r="D27" i="2" s="1"/>
  <c r="I100" i="2"/>
  <c r="D100" i="2" s="1"/>
  <c r="I45" i="2"/>
  <c r="D45" i="2" s="1"/>
  <c r="I71" i="2"/>
  <c r="D71" i="2" s="1"/>
  <c r="I73" i="2"/>
  <c r="D73" i="2" s="1"/>
  <c r="I92" i="2"/>
  <c r="D92" i="2" s="1"/>
  <c r="I65" i="2"/>
  <c r="D65" i="2" s="1"/>
  <c r="I21" i="2"/>
  <c r="D21" i="2" s="1"/>
  <c r="I103" i="2"/>
  <c r="D103" i="2" s="1"/>
  <c r="I69" i="2"/>
  <c r="D69" i="2" s="1"/>
  <c r="I53" i="2"/>
  <c r="D53" i="2" s="1"/>
  <c r="I88" i="2"/>
  <c r="D88" i="2" s="1"/>
  <c r="I89" i="2"/>
  <c r="D89" i="2" s="1"/>
  <c r="I32" i="2"/>
  <c r="D32" i="2" s="1"/>
  <c r="I99" i="2"/>
  <c r="D99" i="2" s="1"/>
  <c r="I18" i="2"/>
  <c r="D18" i="2" s="1"/>
  <c r="I117" i="2"/>
  <c r="D117" i="2" s="1"/>
  <c r="I66" i="2"/>
  <c r="I51" i="2"/>
  <c r="D51" i="2" s="1"/>
  <c r="I35" i="2"/>
  <c r="D35" i="2" s="1"/>
  <c r="I86" i="2"/>
  <c r="D86" i="2" s="1"/>
  <c r="I96" i="2"/>
  <c r="D96" i="2" s="1"/>
  <c r="I22" i="2"/>
  <c r="D22" i="2" s="1"/>
  <c r="I36" i="2"/>
  <c r="D36" i="2" s="1"/>
  <c r="I78" i="2"/>
  <c r="D78" i="2" s="1"/>
  <c r="I34" i="2"/>
  <c r="D34" i="2" s="1"/>
  <c r="I111" i="2"/>
  <c r="D111" i="2" s="1"/>
  <c r="I52" i="2"/>
  <c r="D52" i="2" s="1"/>
  <c r="I101" i="2"/>
  <c r="D101" i="2" s="1"/>
  <c r="I44" i="2"/>
  <c r="D44" i="2" s="1"/>
  <c r="I118" i="2"/>
  <c r="D118" i="2" s="1"/>
  <c r="I85" i="2"/>
  <c r="D85" i="2" s="1"/>
  <c r="I70" i="2"/>
  <c r="D70" i="2" s="1"/>
  <c r="I95" i="2"/>
  <c r="D95" i="2" s="1"/>
  <c r="I75" i="2"/>
  <c r="D75" i="2" s="1"/>
  <c r="D47" i="2"/>
  <c r="I43" i="2"/>
  <c r="D43" i="2" s="1"/>
  <c r="D48" i="2" l="1"/>
  <c r="D16" i="2"/>
  <c r="D42" i="2"/>
  <c r="D116" i="2"/>
  <c r="J109" i="1"/>
  <c r="D109" i="1" s="1"/>
  <c r="J80" i="1"/>
  <c r="D80" i="1" s="1"/>
  <c r="J110" i="1"/>
  <c r="D110" i="1" s="1"/>
  <c r="J89" i="1"/>
  <c r="D89" i="1" s="1"/>
  <c r="J68" i="1"/>
  <c r="J99" i="1"/>
  <c r="D99" i="1" s="1"/>
  <c r="J78" i="1"/>
  <c r="D78" i="1" s="1"/>
  <c r="J108" i="1"/>
  <c r="J85" i="1"/>
  <c r="J87" i="1"/>
  <c r="D87" i="1" s="1"/>
  <c r="J73" i="1"/>
  <c r="D73" i="1" s="1"/>
  <c r="J105" i="1"/>
  <c r="D105" i="1" s="1"/>
  <c r="J112" i="1"/>
  <c r="D112" i="1" s="1"/>
  <c r="J71" i="1"/>
  <c r="D71" i="1" s="1"/>
  <c r="J92" i="1"/>
  <c r="J93" i="1"/>
  <c r="D93" i="1" s="1"/>
  <c r="J94" i="1"/>
  <c r="D94" i="1" s="1"/>
  <c r="J82" i="1"/>
  <c r="D82" i="1" s="1"/>
  <c r="J84" i="1"/>
  <c r="J91" i="1"/>
  <c r="D91" i="1" s="1"/>
  <c r="J75" i="1"/>
  <c r="D75" i="1" s="1"/>
  <c r="J88" i="1"/>
  <c r="D88" i="1" s="1"/>
  <c r="J97" i="1"/>
  <c r="J72" i="1"/>
  <c r="J98" i="1"/>
  <c r="D98" i="1" s="1"/>
  <c r="J77" i="1"/>
  <c r="D77" i="1" s="1"/>
  <c r="J111" i="1"/>
  <c r="D111" i="1" s="1"/>
  <c r="J90" i="1"/>
  <c r="D90" i="1" s="1"/>
  <c r="J69" i="1"/>
  <c r="J96" i="1"/>
  <c r="D96" i="1" s="1"/>
  <c r="J76" i="1"/>
  <c r="D76" i="1" s="1"/>
  <c r="J103" i="1"/>
  <c r="D103" i="1" s="1"/>
  <c r="J81" i="1"/>
  <c r="J86" i="1"/>
  <c r="D86" i="1" s="1"/>
  <c r="J95" i="1"/>
  <c r="D95" i="1" s="1"/>
  <c r="J74" i="1"/>
  <c r="D74" i="1" s="1"/>
  <c r="J79" i="1"/>
  <c r="D79" i="1" s="1"/>
  <c r="J70" i="1"/>
  <c r="D70" i="1" s="1"/>
  <c r="D25" i="2"/>
  <c r="D72" i="2"/>
  <c r="D90" i="2"/>
  <c r="D83" i="2"/>
  <c r="D106" i="2"/>
  <c r="D63" i="2"/>
  <c r="D31" i="2"/>
  <c r="D98" i="2"/>
  <c r="D114" i="2" l="1"/>
  <c r="D100" i="1"/>
  <c r="D69" i="1"/>
  <c r="D85" i="1"/>
  <c r="D97" i="1"/>
  <c r="D108" i="1"/>
  <c r="D92" i="1"/>
  <c r="D30" i="2"/>
  <c r="D15" i="2"/>
  <c r="J32" i="2"/>
  <c r="D97" i="2"/>
  <c r="D84" i="1" l="1"/>
  <c r="D58" i="2"/>
  <c r="D82" i="2"/>
  <c r="C8" i="3" l="1"/>
  <c r="G12" i="3"/>
  <c r="I22" i="1"/>
  <c r="I60" i="1" l="1"/>
  <c r="D22" i="1"/>
  <c r="D20" i="1" s="1"/>
  <c r="D60" i="1" s="1"/>
  <c r="G8" i="3"/>
  <c r="I149" i="3" l="1"/>
  <c r="I135" i="3"/>
  <c r="L143" i="3"/>
  <c r="L145" i="3"/>
  <c r="I68" i="2"/>
  <c r="D68" i="2" s="1"/>
  <c r="D67" i="2" s="1"/>
  <c r="D59" i="2" s="1"/>
  <c r="D81" i="2" s="1"/>
  <c r="D115" i="2" s="1"/>
  <c r="D119" i="2" s="1"/>
  <c r="K131" i="3"/>
  <c r="K135" i="3" s="1"/>
  <c r="G135" i="3"/>
  <c r="F262" i="3" s="1"/>
  <c r="G262" i="3" s="1"/>
  <c r="L31" i="4" l="1"/>
  <c r="F257" i="3"/>
  <c r="F7" i="3" s="1"/>
  <c r="I233" i="3"/>
  <c r="L35" i="4" l="1"/>
  <c r="M31" i="4"/>
  <c r="M35" i="4" s="1"/>
  <c r="L278" i="3"/>
  <c r="L275" i="3" s="1"/>
  <c r="G257" i="3"/>
  <c r="G7" i="3" s="1"/>
  <c r="J83" i="1"/>
  <c r="L280" i="3" l="1"/>
  <c r="N290" i="3" s="1"/>
  <c r="M275" i="3"/>
  <c r="J114" i="1"/>
  <c r="D83" i="1"/>
  <c r="L269" i="3" l="1"/>
  <c r="L287" i="3" s="1"/>
  <c r="L289" i="3" s="1"/>
  <c r="L290" i="3" s="1"/>
  <c r="D81" i="1"/>
  <c r="D72" i="1" s="1"/>
  <c r="D114" i="1" s="1"/>
  <c r="L114" i="1" s="1"/>
</calcChain>
</file>

<file path=xl/comments1.xml><?xml version="1.0" encoding="utf-8"?>
<comments xmlns="http://schemas.openxmlformats.org/spreadsheetml/2006/main">
  <authors>
    <author>Author</author>
  </authors>
  <commentList>
    <comment ref="L101" authorId="0" shape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Pvr na predujmove</t>
        </r>
      </text>
    </comment>
    <comment ref="J149" authorId="0" shape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marijana i zlatan</t>
        </r>
      </text>
    </comment>
    <comment ref="L152" authorId="0" shape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ugrinič i ristić, ilija i dajana</t>
        </r>
      </text>
    </comment>
    <comment ref="L154" authorId="0" shape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ostali zapsoleni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H122" authorId="0" shapeId="0">
      <text>
        <r>
          <rPr>
            <b/>
            <sz val="8"/>
            <color indexed="81"/>
            <rFont val="Tahoma"/>
            <family val="2"/>
            <charset val="238"/>
          </rPr>
          <t>Author:</t>
        </r>
        <r>
          <rPr>
            <sz val="8"/>
            <color indexed="81"/>
            <rFont val="Tahoma"/>
            <family val="2"/>
            <charset val="238"/>
          </rPr>
          <t xml:space="preserve">
Ovo je dobit prikazana u poreskom bilansu</t>
        </r>
      </text>
    </comment>
  </commentList>
</comments>
</file>

<file path=xl/sharedStrings.xml><?xml version="1.0" encoding="utf-8"?>
<sst xmlns="http://schemas.openxmlformats.org/spreadsheetml/2006/main" count="1328" uniqueCount="1080">
  <si>
    <t>POZICIJA</t>
  </si>
  <si>
    <t>Grupa računa</t>
  </si>
  <si>
    <t>Prethodna godina</t>
  </si>
  <si>
    <t>Tekuća godina</t>
  </si>
  <si>
    <t>A. Nematerijalna imovina</t>
  </si>
  <si>
    <t>A.1. Gudvil</t>
  </si>
  <si>
    <t>A.3. Potraživanja po osovu datih avansa za dugoročna nematerijalna ulaganja i aktivna vremenska razgarničenja</t>
  </si>
  <si>
    <t>A.2. Druga dugoročna nematerijalna ulaganja</t>
  </si>
  <si>
    <t>B.1. Zemljište i objekti za neposredno obavljanje djelatnosti osiguranja</t>
  </si>
  <si>
    <t>B.2. Oprema i istan invenatar za neposredno obavljanje djelatnosti osiguranja</t>
  </si>
  <si>
    <t>B.3. Potraživanja po osnovu datih avansa za nekretnine, postrojenja i opremu za neposredno obaljanje djelatnosti osiguranja</t>
  </si>
  <si>
    <t>B.4. Nekretnine, postrojenja i oprema za neposredno obavljanje djelatnosti osiguranja u izgradnji</t>
  </si>
  <si>
    <t>C.1. Dugoročna finansijska ulaganja kapitala, tehničkih rezervi i matematičkih rezervi</t>
  </si>
  <si>
    <t>C.1.1. Hartije od vrijednosti</t>
  </si>
  <si>
    <t>C.1.2. Obveznice, odnosno druge dužničke hartije od vrijednosti</t>
  </si>
  <si>
    <t>C.1.3. Akcije</t>
  </si>
  <si>
    <t>C.1.4. Ulaganja u investicione fondove</t>
  </si>
  <si>
    <t>C.1.5. Dugoročni depoziti i druga dugoročna finansijska ulaganja</t>
  </si>
  <si>
    <t>C.1.6. Investicione nekretnine i druge nekretnine, postrojenja i oprema, koji nisu namijenjeni za neposredno obavljanje djelatnosti osiguranja</t>
  </si>
  <si>
    <t>C.1.7. Udjeli i učešća u društvima</t>
  </si>
  <si>
    <t>C.1.9. Izvedeni finansijski instrumenti</t>
  </si>
  <si>
    <t>C.1.10. Druga dugoročna finansijska ulaganja</t>
  </si>
  <si>
    <t>C.1.11. Stalna imovina koja se drži za prodaju</t>
  </si>
  <si>
    <t>C.2. Dugoročna finansijska ulaganja u grupu društava, pridružena i zajednički kontrolisana društva</t>
  </si>
  <si>
    <t>C.2.1. Akcije, dužničke hartije od vrijednosti i izvedeni finansijski instrumenti u grupu društava, pridružena i zajednički kontrolisana</t>
  </si>
  <si>
    <t>C.2.2. Depoziti kod grupe banaka, kod pridruženih banaka i kod zajednički kontrolisanih banaka</t>
  </si>
  <si>
    <t>D.1. Hartije od vrijednosti</t>
  </si>
  <si>
    <t>D.2. Kratkoročni depoziti kod banaka</t>
  </si>
  <si>
    <t>D.3. Izvedeni finansijski instrumenti i druga kratkoročna finansijska ulaganja</t>
  </si>
  <si>
    <t>E.1. Gotovinska sredstva</t>
  </si>
  <si>
    <t>E.2. Kratkoročna potraživanja</t>
  </si>
  <si>
    <t>E.2.1. Kratkoročna potraživanja iz neposrednih poslova osiguranja</t>
  </si>
  <si>
    <t>E.2.2. Kratkoročna potraživanja za premije reosiguranja i saosiguranja</t>
  </si>
  <si>
    <t>E.2.3. Kratkoročna potraživanja za udjele u iznosu šteta</t>
  </si>
  <si>
    <t>E.2.4. Druga kratkoročna potraživanja iz poslova osiguranja</t>
  </si>
  <si>
    <t>E.2.5. Kratkoročna potraživanja iz finansiranja</t>
  </si>
  <si>
    <t>E.2.6. Druga kratkoročna potraživanja</t>
  </si>
  <si>
    <t>E.3. Zalihe materijala i sitnog inventara</t>
  </si>
  <si>
    <t>F. Udio reosiguravača u tehničkim rezervama</t>
  </si>
  <si>
    <t>H. Aktivna vremenska razgraničenja</t>
  </si>
  <si>
    <t>G. Odložena poreska sredstva</t>
  </si>
  <si>
    <t>A.1. Akcijski kapital-obične akcije</t>
  </si>
  <si>
    <t>A.2. Akcijski kapital-povlašćene akcije</t>
  </si>
  <si>
    <t>B.1. Kapitalne rezerve</t>
  </si>
  <si>
    <t>B.2. Rezerve iz dobiti</t>
  </si>
  <si>
    <t>B.2.1. Zakonske rezerve</t>
  </si>
  <si>
    <t>B.2.2. Rezerve za sopstvene akcije</t>
  </si>
  <si>
    <t>B.2.3. Statutarne rezerve</t>
  </si>
  <si>
    <t>B.2.4. Ostale rezerve iz dobitka</t>
  </si>
  <si>
    <t>B.3. Sopstvene akcije</t>
  </si>
  <si>
    <t>B.4. Revalorizacione rezerve</t>
  </si>
  <si>
    <t>C.1. Bruto tehničke rezerve</t>
  </si>
  <si>
    <t>C.1.1. Bruto prenosne premije</t>
  </si>
  <si>
    <t>C.2. Matematička rezerva i druga tehnička rezervisanja životnih osiguranja</t>
  </si>
  <si>
    <t>C.2.1. Bruto matematička rezervisanja za životna osiguranja</t>
  </si>
  <si>
    <t>C.2.2. Bruto matematička rezervisanja za životna osiguranja kod koji ugovarač osiguranja preuzima rizik ulaganja</t>
  </si>
  <si>
    <t>C.2.4. Bruto rezervisanja za učešće u dobiti</t>
  </si>
  <si>
    <t>C.3. Ostala rezervisanja</t>
  </si>
  <si>
    <t>C.3.2. Ostala rezervisanja, osim tehničkih rezervisanja</t>
  </si>
  <si>
    <t>C.3.1. Rezervisanja za penzije, jubilarne nagrade i otpremine</t>
  </si>
  <si>
    <t>D.1. Kratkoročne obaveze iz neposrednih poslova osiguranja</t>
  </si>
  <si>
    <t>D.3. Kratkoročne obaveze za udjele u iznosima šteta</t>
  </si>
  <si>
    <t>D.5. Kratkoročne obaveze iz finansiranja</t>
  </si>
  <si>
    <t>D.6. Kratkoročne obaveze prema zaposlenima</t>
  </si>
  <si>
    <t>D.7. Druge kratkoročne obaveze i izvedeni finansijski instrumenti</t>
  </si>
  <si>
    <t>E.2. Obaveze po izdatim hartijama od vrijednosti</t>
  </si>
  <si>
    <t>E.3. Druge finansijske obaveze</t>
  </si>
  <si>
    <t>F. Pasivna vremenska razgraničenja</t>
  </si>
  <si>
    <t>H. UKUPNO PASIVA</t>
  </si>
  <si>
    <t>I. UKUPNO AKTIVA</t>
  </si>
  <si>
    <t>000</t>
  </si>
  <si>
    <t>002,003,004</t>
  </si>
  <si>
    <t>005,006</t>
  </si>
  <si>
    <t>008,009</t>
  </si>
  <si>
    <t>010</t>
  </si>
  <si>
    <t>011,012</t>
  </si>
  <si>
    <t>013</t>
  </si>
  <si>
    <t>014,015,016</t>
  </si>
  <si>
    <t>019</t>
  </si>
  <si>
    <t>020,030,040,050,060,070</t>
  </si>
  <si>
    <t>021,031,041,051,061,071</t>
  </si>
  <si>
    <t>022,032,042,052,062,072</t>
  </si>
  <si>
    <t>023,033,043,053,063,073</t>
  </si>
  <si>
    <t>024,034,044,054,064,074</t>
  </si>
  <si>
    <t>025,035,045,055,065,075</t>
  </si>
  <si>
    <t>026</t>
  </si>
  <si>
    <t>027</t>
  </si>
  <si>
    <t>028,036,046,056,066,076</t>
  </si>
  <si>
    <t>029,037,047,057,067,077</t>
  </si>
  <si>
    <t>037,048,058,068,078</t>
  </si>
  <si>
    <t>080,081,083,084,085</t>
  </si>
  <si>
    <t>082</t>
  </si>
  <si>
    <t>086,087</t>
  </si>
  <si>
    <t>180,182,184</t>
  </si>
  <si>
    <t>181,183,185</t>
  </si>
  <si>
    <t>186</t>
  </si>
  <si>
    <t>10</t>
  </si>
  <si>
    <t>11</t>
  </si>
  <si>
    <t>12</t>
  </si>
  <si>
    <t>13</t>
  </si>
  <si>
    <t>14</t>
  </si>
  <si>
    <t>15</t>
  </si>
  <si>
    <t>16</t>
  </si>
  <si>
    <t>310,311,319,320,321,329</t>
  </si>
  <si>
    <t>9702,9712,9722,9732,9742, 9808,9812,9822,9832,9842, 9852,9862,9872,9882,9892</t>
  </si>
  <si>
    <t>900</t>
  </si>
  <si>
    <t>901</t>
  </si>
  <si>
    <t>910</t>
  </si>
  <si>
    <t>911</t>
  </si>
  <si>
    <t>919</t>
  </si>
  <si>
    <t>940-949</t>
  </si>
  <si>
    <t>920,925</t>
  </si>
  <si>
    <t>921,926</t>
  </si>
  <si>
    <t>980</t>
  </si>
  <si>
    <t>982</t>
  </si>
  <si>
    <t>983</t>
  </si>
  <si>
    <t>984</t>
  </si>
  <si>
    <t>985</t>
  </si>
  <si>
    <t>986,987,988,989</t>
  </si>
  <si>
    <t>970</t>
  </si>
  <si>
    <t>971</t>
  </si>
  <si>
    <t>972,973</t>
  </si>
  <si>
    <t>974</t>
  </si>
  <si>
    <t>960</t>
  </si>
  <si>
    <t>961,962,963,967</t>
  </si>
  <si>
    <t>22</t>
  </si>
  <si>
    <t>23</t>
  </si>
  <si>
    <t>24</t>
  </si>
  <si>
    <t>25</t>
  </si>
  <si>
    <t>26</t>
  </si>
  <si>
    <t>21</t>
  </si>
  <si>
    <t>27,28</t>
  </si>
  <si>
    <t>950,951</t>
  </si>
  <si>
    <t>954</t>
  </si>
  <si>
    <t>952,953,955,956</t>
  </si>
  <si>
    <t>957</t>
  </si>
  <si>
    <t>969</t>
  </si>
  <si>
    <t>1. Prihodi od premije osiguranja i saosiguranja</t>
  </si>
  <si>
    <t>1.1. Obračunate bruto premije osiguranja</t>
  </si>
  <si>
    <t>1.2. Primljene premije saosiguranja</t>
  </si>
  <si>
    <t>1.3. Primljene premije reosiguranja i premije reosiguranja iz cesije</t>
  </si>
  <si>
    <t>2. Neto prihodi od ostalih usluga</t>
  </si>
  <si>
    <t>2.1. Prihodi od usluga za obavljanje drugih poslova osiguranja</t>
  </si>
  <si>
    <t>2.2. Prihodi od ukinutih rezervisanja, osim osiguravajuće tehničkih rezervisanja</t>
  </si>
  <si>
    <t>2.3. Revalorizacioni poslovni prihodi</t>
  </si>
  <si>
    <t>2.4. Prihodi od drugih usluga</t>
  </si>
  <si>
    <t>1. Rashodi naknada šteta</t>
  </si>
  <si>
    <t>1.2. Troškovi vezani za isplatu šteta</t>
  </si>
  <si>
    <t>1.3. Umanjenje za prihode ostvarene iz bruto regresnih potraživanja</t>
  </si>
  <si>
    <t>1.9. Umanjenje za udjele saosiguravača,reosiguravača i retrocesionara u rezervisanjima za nastale neprijavljene štete</t>
  </si>
  <si>
    <t>1.10. Promjena rezervisanja za troškove likvidacije šteta</t>
  </si>
  <si>
    <t>3. Ostali troškovi, doprinosi i rezervisanja</t>
  </si>
  <si>
    <t>3.2. Vatrogasni doprinos</t>
  </si>
  <si>
    <t>3.3. Garantni fond</t>
  </si>
  <si>
    <t>3.4. Troškovi nadzornog organa</t>
  </si>
  <si>
    <t>1. Trokovi sticanja osiguranja</t>
  </si>
  <si>
    <t>3. Amortizacija</t>
  </si>
  <si>
    <t>4. Troškovi rada</t>
  </si>
  <si>
    <t>2. Promjene u razgraničenim troškovima sticanja osiguranja</t>
  </si>
  <si>
    <t>4.1. Troškovi zarada, naknada zarada i ostalih primanja zaposlenih</t>
  </si>
  <si>
    <t>4.3. Porezi i doprinosi na isplaćene zarade</t>
  </si>
  <si>
    <t>4.5. Drugi troškovi rada</t>
  </si>
  <si>
    <t>5. Materijalni troškovi</t>
  </si>
  <si>
    <t>5.1. Troškovi materijala za popravku i održavanje, otpis sitnog inventara i usklađivanje</t>
  </si>
  <si>
    <t>5.2. Troškovi kancelarijskog materijala</t>
  </si>
  <si>
    <t>5.3. Troškovi energije</t>
  </si>
  <si>
    <t>6. Ostali troškovi usluga</t>
  </si>
  <si>
    <t>6.1. Troškovi konultantskih usluga (troškovi po ugovorima o djelu, ugovorima o autorskom radu, intelektualnih usluga zajedno sa dažbinama, koji idu na teret preduzeća</t>
  </si>
  <si>
    <t>6.2. Zakupnine</t>
  </si>
  <si>
    <t>6.4. Premije osiguranja</t>
  </si>
  <si>
    <t>6.5. Troškovi reklame, propagande i reprezentacije</t>
  </si>
  <si>
    <t>6.6. Troškovi drugih usluga</t>
  </si>
  <si>
    <t>7. Drugi troškovi</t>
  </si>
  <si>
    <t>8. Umanjenjenje za prihode od provizije reosiguranja</t>
  </si>
  <si>
    <t>1. Prihodi od ulaganja(finansiranja)sredstava tehničkih i matematičke rezerve</t>
  </si>
  <si>
    <t>2.1. Rashodi kamata</t>
  </si>
  <si>
    <t>2.2. Gubici od finansijskih sredstava i finansijski obaveza</t>
  </si>
  <si>
    <t>2.3. Rashodi od umanjenja vrijednosti</t>
  </si>
  <si>
    <t>2.4. Negativne kursne razlike</t>
  </si>
  <si>
    <t>2.5. Drugi finansijski rashodi</t>
  </si>
  <si>
    <t>2.6. Rashodi nastali investiranjem tehničkih rezervi u investicione nekretnine</t>
  </si>
  <si>
    <t>4.1. Prihodi od kamata</t>
  </si>
  <si>
    <t>4.2. Dobici od finansijskih sredstava i finansijskih obaveza</t>
  </si>
  <si>
    <t>4.3. Drugi prihodi od ulaganja</t>
  </si>
  <si>
    <t>4.4. Prihodi od dividendi i drugih udjela u dobitku</t>
  </si>
  <si>
    <t>4.5. Drugi finansijski prihodi</t>
  </si>
  <si>
    <t>4.7. Drugi prihodi</t>
  </si>
  <si>
    <t>5.1. Rashodi kamata</t>
  </si>
  <si>
    <t>5.2. Gubici od finansijsih sredstava i finansijskih obaveza</t>
  </si>
  <si>
    <t>5.3. Rashodi od umanjenja vrijednosti</t>
  </si>
  <si>
    <t>5.4. Drugi finansijski rashodi</t>
  </si>
  <si>
    <t>5.5. Rashodi od amortizacije, vrednovanje po fer vrijednosti investicionih nekretnina</t>
  </si>
  <si>
    <t>5.6. Rashodi za druge nekretnine</t>
  </si>
  <si>
    <t>5.7. Novčane kazne i odštete</t>
  </si>
  <si>
    <t>VII DOBITAK/GUBITAK IZ REDOVNOG POSLOVANJA PRIJE OPOREZIVANJA</t>
  </si>
  <si>
    <t>VIII POREZ NA DOBIT</t>
  </si>
  <si>
    <t>1.1. Porez na dobit</t>
  </si>
  <si>
    <t>1.2. Prihodi ( rashodi ) na ime odloženog poreza</t>
  </si>
  <si>
    <t>1. Raspodjela neto dobiti</t>
  </si>
  <si>
    <t>750</t>
  </si>
  <si>
    <t>752</t>
  </si>
  <si>
    <t>753</t>
  </si>
  <si>
    <t>754</t>
  </si>
  <si>
    <t>755</t>
  </si>
  <si>
    <t>756</t>
  </si>
  <si>
    <t>757</t>
  </si>
  <si>
    <t>758</t>
  </si>
  <si>
    <t>760</t>
  </si>
  <si>
    <t>764</t>
  </si>
  <si>
    <t>768</t>
  </si>
  <si>
    <t>769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</si>
  <si>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</si>
  <si>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</si>
  <si>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</si>
  <si>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</si>
  <si>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</si>
  <si>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</si>
  <si>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</si>
  <si>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</si>
  <si>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</si>
  <si>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</si>
  <si>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412,413,414</t>
  </si>
  <si>
    <t>415</t>
  </si>
  <si>
    <t>420</t>
  </si>
  <si>
    <t>421</t>
  </si>
  <si>
    <t>422</t>
  </si>
  <si>
    <t>423</t>
  </si>
  <si>
    <t>429</t>
  </si>
  <si>
    <t>460</t>
  </si>
  <si>
    <t>463</t>
  </si>
  <si>
    <t>462,469</t>
  </si>
  <si>
    <t>440</t>
  </si>
  <si>
    <t>441</t>
  </si>
  <si>
    <t>45</t>
  </si>
  <si>
    <t>470,471,472,475</t>
  </si>
  <si>
    <t>473,474</t>
  </si>
  <si>
    <t>476</t>
  </si>
  <si>
    <t>430,432,434</t>
  </si>
  <si>
    <t>431</t>
  </si>
  <si>
    <t>433</t>
  </si>
  <si>
    <t>439</t>
  </si>
  <si>
    <t>443,446</t>
  </si>
  <si>
    <t>442</t>
  </si>
  <si>
    <t>445</t>
  </si>
  <si>
    <t>447</t>
  </si>
  <si>
    <t>448</t>
  </si>
  <si>
    <t>444,449</t>
  </si>
  <si>
    <t>48</t>
  </si>
  <si>
    <t>706</t>
  </si>
  <si>
    <t>770</t>
  </si>
  <si>
    <t>771</t>
  </si>
  <si>
    <t>772</t>
  </si>
  <si>
    <t>774</t>
  </si>
  <si>
    <t>775</t>
  </si>
  <si>
    <t>730</t>
  </si>
  <si>
    <t>732</t>
  </si>
  <si>
    <t>734</t>
  </si>
  <si>
    <t>735</t>
  </si>
  <si>
    <t>731,736,737,738,739</t>
  </si>
  <si>
    <t>773,771,775</t>
  </si>
  <si>
    <t>776,777,778,779</t>
  </si>
  <si>
    <t>780,781,782</t>
  </si>
  <si>
    <t>783,784,785,786,787,789</t>
  </si>
  <si>
    <t>736,737,738,739,731</t>
  </si>
  <si>
    <t>740,741,742,743,744</t>
  </si>
  <si>
    <t>745,746</t>
  </si>
  <si>
    <t>747,478</t>
  </si>
  <si>
    <t>820</t>
  </si>
  <si>
    <t>823</t>
  </si>
  <si>
    <t>830,831,832,833,834,839</t>
  </si>
  <si>
    <t>773,776,777,778,779,780, 781,782</t>
  </si>
  <si>
    <t>740,741,742,743,744,    745,746</t>
  </si>
  <si>
    <t>"MERKUR OSIGURANJE" A.D.</t>
  </si>
  <si>
    <t>Podgorica</t>
  </si>
  <si>
    <t>BRUTO BILANS</t>
  </si>
  <si>
    <t xml:space="preserve">NA DAN </t>
  </si>
  <si>
    <t>KONTO</t>
  </si>
  <si>
    <t>NAZIV</t>
  </si>
  <si>
    <t>Duguje</t>
  </si>
  <si>
    <t>Potrazuje</t>
  </si>
  <si>
    <t>Saldo</t>
  </si>
  <si>
    <t>IMOVINA</t>
  </si>
  <si>
    <t>dati avansi</t>
  </si>
  <si>
    <t>potrazivanja po osnovu ugovora grac</t>
  </si>
  <si>
    <t>Akcijski kapital obicne akcijhe</t>
  </si>
  <si>
    <t>OBAVEZE</t>
  </si>
  <si>
    <t>TROSKOVI</t>
  </si>
  <si>
    <t>troskovi stampanja materijala</t>
  </si>
  <si>
    <t>troškovi energije</t>
  </si>
  <si>
    <t>troskovi ptt usluga</t>
  </si>
  <si>
    <t>komunalne usluge</t>
  </si>
  <si>
    <t>troskovi strucnog obrazovanja</t>
  </si>
  <si>
    <t>troskovi pretplate novine i casopisi</t>
  </si>
  <si>
    <t>ostali nematerijalni troskovi</t>
  </si>
  <si>
    <t>troskovi naknada cda</t>
  </si>
  <si>
    <t>troskovi revizije</t>
  </si>
  <si>
    <t>troskovi prevoza taxi</t>
  </si>
  <si>
    <t>ostali lični rashodi i naknade</t>
  </si>
  <si>
    <t>ostali nematerijalni rashodi</t>
  </si>
  <si>
    <t>trošak ranijih godina</t>
  </si>
  <si>
    <t>PRIHODI</t>
  </si>
  <si>
    <t>ostali poslovni prihodi</t>
  </si>
  <si>
    <t>prihodi od smanjenja obaveza</t>
  </si>
  <si>
    <t>UKUPNO</t>
  </si>
  <si>
    <t>DOBITAK/GUBITAK</t>
  </si>
  <si>
    <t>Racun dobitka ili gubitka</t>
  </si>
  <si>
    <t>PROVJERA NALOGA</t>
  </si>
  <si>
    <t>kratkoročna potraživanja na ime kamata</t>
  </si>
  <si>
    <t>kratkoročna potraživanja od zaposlenih</t>
  </si>
  <si>
    <t>prelazni transakcioni račun</t>
  </si>
  <si>
    <t xml:space="preserve">duguje </t>
  </si>
  <si>
    <t>potrazuje</t>
  </si>
  <si>
    <t>saldo</t>
  </si>
  <si>
    <t>A.2.</t>
  </si>
  <si>
    <t>A.4.</t>
  </si>
  <si>
    <t>B.2.</t>
  </si>
  <si>
    <t>B.5.</t>
  </si>
  <si>
    <t>G.</t>
  </si>
  <si>
    <t>E.1.</t>
  </si>
  <si>
    <t>E.2.1.</t>
  </si>
  <si>
    <t>E.2.5.</t>
  </si>
  <si>
    <t>E.2.6.</t>
  </si>
  <si>
    <t>D.2.</t>
  </si>
  <si>
    <t>H.</t>
  </si>
  <si>
    <t>obaveze za PK</t>
  </si>
  <si>
    <t>obaveze za Fond rada</t>
  </si>
  <si>
    <t>obaveze za Fond za rehabilitaciju</t>
  </si>
  <si>
    <t>A.1.</t>
  </si>
  <si>
    <t>B.5.1.</t>
  </si>
  <si>
    <t>C.1.5.</t>
  </si>
  <si>
    <t>B.5.2.</t>
  </si>
  <si>
    <t>C.1.1.</t>
  </si>
  <si>
    <t>C.1.3.</t>
  </si>
  <si>
    <t>C.1.4.</t>
  </si>
  <si>
    <t>C.2.1.</t>
  </si>
  <si>
    <t>D.6.</t>
  </si>
  <si>
    <t>D.1.</t>
  </si>
  <si>
    <t>D.4.</t>
  </si>
  <si>
    <t>D.7.</t>
  </si>
  <si>
    <t>F.</t>
  </si>
  <si>
    <t>S - A/P</t>
  </si>
  <si>
    <t>1.1.</t>
  </si>
  <si>
    <t>2.4.</t>
  </si>
  <si>
    <t>3.1.</t>
  </si>
  <si>
    <t>2.2.</t>
  </si>
  <si>
    <t>druga dugoročna nematerijalna imovina-simas</t>
  </si>
  <si>
    <t>ispravka vrijednosti drugih nematerijalnih ulaganja-simas</t>
  </si>
  <si>
    <t>sitan inventar za neposredno obavljanje djalatnosti osiguranja</t>
  </si>
  <si>
    <t>ispravka vrijednosti sitnog inventara za neposredno obaljanje djelatnosti osiguranja</t>
  </si>
  <si>
    <t>sredstva u eurima u blagajni</t>
  </si>
  <si>
    <t>transakcioni račun nlb</t>
  </si>
  <si>
    <t>premijski račun nlb</t>
  </si>
  <si>
    <t>premijski račun atlas mont</t>
  </si>
  <si>
    <t>premijski račun erste</t>
  </si>
  <si>
    <t>premijski račun ckb</t>
  </si>
  <si>
    <t>premijski račun hipotekarna</t>
  </si>
  <si>
    <t>devizni račun nlb</t>
  </si>
  <si>
    <t>kratkoročni depoziti kod banaka koji ulaze u sastav imovine za pokriće rezervi životnog osiguranja</t>
  </si>
  <si>
    <t>prenesena čista dobit iz ranijih godina</t>
  </si>
  <si>
    <t>neraspoređena čista dobit tekuće poslovne godine</t>
  </si>
  <si>
    <t>Kratkoročne obaveze za razne isplate-ugovori o djelu</t>
  </si>
  <si>
    <t>obračunate bruto štete iz osiguranja u državi</t>
  </si>
  <si>
    <t>troškovi vezani za isplatu šteta-procjene osiguranih slučajeva</t>
  </si>
  <si>
    <t>troškovi drugih usluga-zdravstveni pregledi osiguranika</t>
  </si>
  <si>
    <t>umanjenje za udjele reosiguravača i retrocesionara u štetama u inostranstvu</t>
  </si>
  <si>
    <t>promjene bruto rezervisanja za nastale prijavljene štete u državi</t>
  </si>
  <si>
    <t>promjene bruto rezervisanja za nastale neprijavljene štete (IBNR)</t>
  </si>
  <si>
    <t>umanjenje za udjele reosiguravača u rezervisanjima za nastele neprijavljene stete</t>
  </si>
  <si>
    <t>promjena matematičkih rezervisanja životnih osiguranja za sa/reosiguravajući dio</t>
  </si>
  <si>
    <t>pokriće troškova nadzornog organa</t>
  </si>
  <si>
    <t>troskovi kancelarijskog materijala i formulari</t>
  </si>
  <si>
    <t>drugi troškovi materijala</t>
  </si>
  <si>
    <t>otpis sitnog inventara</t>
  </si>
  <si>
    <t>troškovi sticanja osiguranja-provizije</t>
  </si>
  <si>
    <t>troskovi nagradne provizije -posrednici</t>
  </si>
  <si>
    <t>zakupnine</t>
  </si>
  <si>
    <t>troškovi usluga fizičkih lica(ugovori o djelu)zajedno sa dažbinama koje idu na teret preduzeća</t>
  </si>
  <si>
    <t>troskovi platnog prometa i bankarskih usluga</t>
  </si>
  <si>
    <t>troškovi reklame u štampanim medijima</t>
  </si>
  <si>
    <t>troskovi reklame-tv i radio oglašavanje</t>
  </si>
  <si>
    <t>troškovi reklame-bilbordi</t>
  </si>
  <si>
    <t>troškovi reklamnih artikala</t>
  </si>
  <si>
    <t>troškovi reprezentacije-ugostiteljske usluge</t>
  </si>
  <si>
    <t>troškovi reprezentacije-poslovni partneri</t>
  </si>
  <si>
    <t>troškovi sajmova</t>
  </si>
  <si>
    <t>troskovi ptt uslga -mobilni</t>
  </si>
  <si>
    <t>troskovi odrzavanja osnovnih sredstava</t>
  </si>
  <si>
    <t>troskovi usluga- Merkur Sarajevo</t>
  </si>
  <si>
    <t>troskovi usluga- Merkur Grac</t>
  </si>
  <si>
    <t>sudske i administrativne takse</t>
  </si>
  <si>
    <t>troskovi ostalih usluga-carina</t>
  </si>
  <si>
    <t>troskovi ostalih usluga-špedicija</t>
  </si>
  <si>
    <t>amortizacija nematerijalnih dugoročnih ulaganja</t>
  </si>
  <si>
    <t>amortizacija opreme za obavljanje djelatnosti osiguranja</t>
  </si>
  <si>
    <t>plate zaposlenih</t>
  </si>
  <si>
    <t xml:space="preserve">naknade plata zaposlenih-zimnica </t>
  </si>
  <si>
    <t>doprinos za PIO na teret zaposlenog</t>
  </si>
  <si>
    <t>doprinos za zdravstveno osiguranje na teret zaposlenog</t>
  </si>
  <si>
    <t>doprinos za nezaposlenost na teret zaposlenog</t>
  </si>
  <si>
    <t>doprinos za PIO na teret poslodavca</t>
  </si>
  <si>
    <t>doprinos za zdravstveno osiguranje na teret poslodavca</t>
  </si>
  <si>
    <t>doprinos za nezaposlenost na teret poslodavca</t>
  </si>
  <si>
    <t>trošak prireza na porez</t>
  </si>
  <si>
    <t>porezi na isplaćene plate</t>
  </si>
  <si>
    <t>porezi na isplaćene plate-zimnica</t>
  </si>
  <si>
    <t>donacije i sponzorski prilozi</t>
  </si>
  <si>
    <t>članarine za komoru i udruženja</t>
  </si>
  <si>
    <t>doprinos za savez samostalinih sindikata-SSS</t>
  </si>
  <si>
    <t>doprinos za privrednu komoru-PK</t>
  </si>
  <si>
    <t>doprinos za fond rada</t>
  </si>
  <si>
    <t>doprinos za fond za rehabilitaciju lica sa invaliditetom</t>
  </si>
  <si>
    <t>ostali troškovi osim troškova osiguranja-stručna literatura</t>
  </si>
  <si>
    <t>obračunate bruto premije osiguranja u državi-život</t>
  </si>
  <si>
    <t>prihodi od ERL</t>
  </si>
  <si>
    <t>prihodi po osnovu uplata centra za socijalni rad-bolovanje</t>
  </si>
  <si>
    <t>prihodi od kamata-a vista</t>
  </si>
  <si>
    <t>druga kratkoročna potraživanja od državnih i drugih isntitucija-CzSR bolovanje</t>
  </si>
  <si>
    <t>2.1.</t>
  </si>
  <si>
    <t>2.3.</t>
  </si>
  <si>
    <t>3.1. Prihodi od kamata</t>
  </si>
  <si>
    <t>3.2. Povećanje fer vrijednosti prilikom upotrebe posebnih pravila za obračunavanje rizika</t>
  </si>
  <si>
    <t>3.4. Prihodi od dividendi i drugih udjela u dobitku</t>
  </si>
  <si>
    <t>3.5. Pozitivne kursne razlike</t>
  </si>
  <si>
    <t>3.6. Drugi prihodi</t>
  </si>
  <si>
    <t>1.5. Smanjenje za udio reosiguranja u premijama osiguranja i za udjele retrocesionara u premijama reosiguranja</t>
  </si>
  <si>
    <t>1.1..</t>
  </si>
  <si>
    <t>1.5..</t>
  </si>
  <si>
    <t>1.6..</t>
  </si>
  <si>
    <t>1.8..</t>
  </si>
  <si>
    <t>1.9..</t>
  </si>
  <si>
    <t>2.2..</t>
  </si>
  <si>
    <t>3.4..</t>
  </si>
  <si>
    <t>5.2..</t>
  </si>
  <si>
    <t>5.3..</t>
  </si>
  <si>
    <t>1..</t>
  </si>
  <si>
    <t>6.2..</t>
  </si>
  <si>
    <t>6.1..</t>
  </si>
  <si>
    <t>6.3..</t>
  </si>
  <si>
    <t>6.5..</t>
  </si>
  <si>
    <t>6.6..</t>
  </si>
  <si>
    <t>3..</t>
  </si>
  <si>
    <t>4.1..</t>
  </si>
  <si>
    <t>4.3..</t>
  </si>
  <si>
    <t>7..</t>
  </si>
  <si>
    <t>2.4..</t>
  </si>
  <si>
    <t>8..</t>
  </si>
  <si>
    <t>C.2.4.</t>
  </si>
  <si>
    <t>C.3.1.</t>
  </si>
  <si>
    <t>3.6..</t>
  </si>
  <si>
    <t>5.7</t>
  </si>
  <si>
    <t>A.4. Umanjenje i ispravka vrijednosti nematerijalnih ulaganja (+/-)</t>
  </si>
  <si>
    <t>B. Nekretnine, postrojanja i oprema za neposredno obavljanje djelatnosti osiguranja (B.1+B.2+B.3+B.4+B.5)</t>
  </si>
  <si>
    <t xml:space="preserve">I z n o s </t>
  </si>
  <si>
    <t>Napomena</t>
  </si>
  <si>
    <t>1</t>
  </si>
  <si>
    <t>A K T I V A</t>
  </si>
  <si>
    <t>B.5. Ispravka vriednosti nekretnina, postrojenja i opreme za neposredno obavljanje djelatnosti osiguranja (+/-)</t>
  </si>
  <si>
    <t>C. Dugoročna finansijska ulaganja (C1+C2)</t>
  </si>
  <si>
    <t>C.1.8. Dugoročna poslovna potraživanja i druga dugoročna potraživanja</t>
  </si>
  <si>
    <t>C.2.3. Druga finansijska ulaganja u grupu društava, pridružena i zajednički kontrolisana društva</t>
  </si>
  <si>
    <t>D. Kratkoročna finansijska ulaganja (D.1+D.2+D.3)</t>
  </si>
  <si>
    <t>E. Kratkoročna sredstva ( E.1+E.2+E.3)</t>
  </si>
  <si>
    <t>P A S I V A</t>
  </si>
  <si>
    <t>Šifra djelatnosti:</t>
  </si>
  <si>
    <t>PIB:</t>
  </si>
  <si>
    <t>02737655</t>
  </si>
  <si>
    <r>
      <t xml:space="preserve">Naziv društva:      </t>
    </r>
    <r>
      <rPr>
        <b/>
        <sz val="10"/>
        <rFont val="Arial"/>
        <family val="2"/>
        <charset val="238"/>
      </rPr>
      <t>MERKUR OSIGURANJE a.d.</t>
    </r>
  </si>
  <si>
    <r>
      <t xml:space="preserve">Sjedište:             </t>
    </r>
    <r>
      <rPr>
        <b/>
        <sz val="10"/>
        <rFont val="Arial"/>
        <family val="2"/>
        <charset val="238"/>
      </rPr>
      <t>Podgorica</t>
    </r>
  </si>
  <si>
    <r>
      <t xml:space="preserve">Vrsta osiguranja: </t>
    </r>
    <r>
      <rPr>
        <b/>
        <sz val="10"/>
        <rFont val="Arial"/>
        <family val="2"/>
        <charset val="238"/>
      </rPr>
      <t>Životno</t>
    </r>
  </si>
  <si>
    <t>A. Osnovni kapital (A.1+A.2)</t>
  </si>
  <si>
    <t>B. Rezerve (B.1+B.2+B.3+B.4+B.5)</t>
  </si>
  <si>
    <t>B.5. Prenesena i neraspoređena dobit/gubitak (+/-)</t>
  </si>
  <si>
    <t>B.5.1. Prenesena dobit/gubitak iz prethodnih godina (+/-)</t>
  </si>
  <si>
    <t>B.5.2. Neraspoređena dobit/gubitak tekuće poslovne godine (+/-)</t>
  </si>
  <si>
    <t>C. Rezervisanja (C.1+C.2+C.3)</t>
  </si>
  <si>
    <t>C.1.2. Bruto rezervisanja za nastale prijavljene štete</t>
  </si>
  <si>
    <t>C.1.3. Bruto rezervisanja za nastale i neprijavljene štete</t>
  </si>
  <si>
    <t>C.1.4. Bruto rezervisanja za troškove likvidacije šteta</t>
  </si>
  <si>
    <t>C.1.5. Bruto rezervisanja za izravnanje rizika</t>
  </si>
  <si>
    <t>C.1.6. Bruto ostala druga osiguravajuća tehnička rezervisanja</t>
  </si>
  <si>
    <t>C.2.3. Bruto matematička rezervisanja za druge vrste osiguranja za koje je potrebno formirati matematiča rezervisanja</t>
  </si>
  <si>
    <t>D. Kratkoročne obaveze ( D.1+D.2+D.3+D.4+D.5+D.6+D.7)</t>
  </si>
  <si>
    <t>D.4. Druge kratkoročne obaveze iz poslova osiguranja</t>
  </si>
  <si>
    <t>E. Dugoročne obaveze iz finansiranja i poslovanja (E.1+E.2+E.3+E.4)</t>
  </si>
  <si>
    <t>E.1. Obaveze prema bankama</t>
  </si>
  <si>
    <t>E.4. Obaveze za odloženi porez</t>
  </si>
  <si>
    <t xml:space="preserve">U Podgorici, </t>
  </si>
  <si>
    <t>Datum:</t>
  </si>
  <si>
    <t>Lice odgovorno za sastavljanje bilansa:</t>
  </si>
  <si>
    <t>MP</t>
  </si>
  <si>
    <t>Izvršni direktor društva:</t>
  </si>
  <si>
    <t>Pečat Poreske uprave</t>
  </si>
  <si>
    <t>I POSLOVNI PRIHODI (1+2)</t>
  </si>
  <si>
    <t>1.4. Smanjenje za udjele saosiguravača u premijama osiguranja</t>
  </si>
  <si>
    <t>1.6. Promjene bruto prenosnih premija (+/-)</t>
  </si>
  <si>
    <t>1.7. Promjene prenosnih premija za saosiguravajući dio (+/-)</t>
  </si>
  <si>
    <t>1.8. Promjene prenosnih premija za reosiguravajući dio (+/-)</t>
  </si>
  <si>
    <t>II POSLOVNI RASHODI ( 1 + 2 +3 )</t>
  </si>
  <si>
    <t>1.1. Obračunate bruto naknade šteta</t>
  </si>
  <si>
    <t>1.4. Udio u naknadama šteta iz prihvaćenih saosiguranja, reosiguranja i retrocesija</t>
  </si>
  <si>
    <t>1.5. Umanjenje za udio saosiguravača, reosiguravača i retrocesionara u naknadama šteta</t>
  </si>
  <si>
    <t>1.6. Promjene bruto rezervisanja za nastale prijavljene štete (+/-)</t>
  </si>
  <si>
    <t>1.7. Promjene rezervisanja za nastale prijavljene štete za saosiguravajući i reosiguravajući dio (+/-)</t>
  </si>
  <si>
    <t>1.8. Promjena bruto rezervisanja za nastale neprijavljene štete (+/-)</t>
  </si>
  <si>
    <t>2. Rashodi za promjene neto tehničkih rezervisanja</t>
  </si>
  <si>
    <t>2.1. Promjene rezervisanja za bonuse i popuste i storno (+/-)</t>
  </si>
  <si>
    <t>2.2. Promjene matematičkih rezervisanja  (+/-)</t>
  </si>
  <si>
    <t>2.3. Promjena rezrevisanja za izravnanje rizika (+/-)</t>
  </si>
  <si>
    <t>410,411</t>
  </si>
  <si>
    <t>2.4. Promjena rezervisanja za prenosne premije (+/-)</t>
  </si>
  <si>
    <t>2.5. Promjena bruto drugih matematičkih rezervisanja</t>
  </si>
  <si>
    <t>416,417</t>
  </si>
  <si>
    <t>418,419</t>
  </si>
  <si>
    <t>3.1. Troškovi za preventivu</t>
  </si>
  <si>
    <t>3.5. Troškovi ispravke vrijednosti premije osiguranja</t>
  </si>
  <si>
    <t>424</t>
  </si>
  <si>
    <t>3.6. Drugi ostali neto troškovi osiguranja</t>
  </si>
  <si>
    <t>3.7. Rezervacije za penzije, jubilarne nagrade i otpremnine povodom penzionisanja</t>
  </si>
  <si>
    <t>3.8. Rezervisanja za onerozne (štetne) ugovor</t>
  </si>
  <si>
    <t>3.9. Druge rezervacije</t>
  </si>
  <si>
    <t>III DOBITAK/GUBITAK-BRUTO POSLOVNI REZULTAT ( 1 - 2 )</t>
  </si>
  <si>
    <t>IV TROŠKOVI SPROVOĐENJA OSIGURANJA                                                (1 - 2 + 3 + 4 + 5 + 6 + 7 - 8 )</t>
  </si>
  <si>
    <t>5.4. Drugi troškovi materijala</t>
  </si>
  <si>
    <t>6.3. Troškovi platnog prometa i bankarske usluge</t>
  </si>
  <si>
    <t>V DOBITAK/GUBITAK -NETO POSLOVNI REZLUTAT ( III - IV )</t>
  </si>
  <si>
    <t>VI finansijski rezultat od ulaganja ( 3 + 6 )</t>
  </si>
  <si>
    <t>3.3. Dobici od finansijskih sredstava i finansijskih obaveza</t>
  </si>
  <si>
    <t>2. Rashodi od ulaganja sredstava tehničkih rezervi i matematičke rezerve</t>
  </si>
  <si>
    <t>3. Neto finansijski rezultat od ulaganja sredstava tehničkih rezervi i matematičke rezerve ( 1 - 2 )</t>
  </si>
  <si>
    <t>4. Prihodi od ulaganja koja se ne finansiraju iz sredstava tehničkih rezervi</t>
  </si>
  <si>
    <t>4.6. Prihodi od ulaganja investicione nekretnine</t>
  </si>
  <si>
    <t>5. Rashodi od ulaganja koja se ne finansiraju iz sredstava tehničkih rezervi</t>
  </si>
  <si>
    <t>6. Neto finansijski rezultat od ulaganja koja se ne finansiraju iz sredstava tehničkih rezervi ( 4 - 5 )</t>
  </si>
  <si>
    <t>IX NETO DOBIT/GUBITAK ZA POSLOVNU GODINU (+/-)</t>
  </si>
  <si>
    <t>X RASPODJELA NETO DOBITI</t>
  </si>
  <si>
    <t>XI ZARADA PO AKCIJI</t>
  </si>
  <si>
    <t>00400000</t>
  </si>
  <si>
    <t>00820001</t>
  </si>
  <si>
    <t>01100001</t>
  </si>
  <si>
    <t>kompjuterska oprema za neposredno obavljanje djelatnosti osiguranja</t>
  </si>
  <si>
    <t>01100002</t>
  </si>
  <si>
    <t>kancelarijski namještaj za neposredno obavljanje djelatnosti osiguranja</t>
  </si>
  <si>
    <t>01100003</t>
  </si>
  <si>
    <t>ostrala oprema za neposredno obavljanje djelatnosti osiguranja</t>
  </si>
  <si>
    <t>01200000</t>
  </si>
  <si>
    <t>01920001</t>
  </si>
  <si>
    <t>ispravka vrijednosti kompujterske opreme za neposredno obavljanje djelatnosti osiguranja( računarske, kancelarijske i ostale opreme)</t>
  </si>
  <si>
    <t>01920002</t>
  </si>
  <si>
    <t>ispravka vrijednosti kancelarijskog namještaja za neposredno obavljanje djelatnosti osiguranja( računarske, kancelarijske i ostale opreme)</t>
  </si>
  <si>
    <t>01920003</t>
  </si>
  <si>
    <t>ispravka vrijednosti ostale opreme za neposredno obavljanje djelatnosti osiguranja( računarske, kancelarijske i ostale opreme)</t>
  </si>
  <si>
    <t>01930000</t>
  </si>
  <si>
    <t>03400000</t>
  </si>
  <si>
    <t>dugoročni depoziti-nlb</t>
  </si>
  <si>
    <t>03400001</t>
  </si>
  <si>
    <t>03400002</t>
  </si>
  <si>
    <t>03400003</t>
  </si>
  <si>
    <t>03400004</t>
  </si>
  <si>
    <t xml:space="preserve">dugoročni depoziti-atlasmont </t>
  </si>
  <si>
    <t>dugoročni depoziti-erste</t>
  </si>
  <si>
    <t>dugoročni depoziti-ckb</t>
  </si>
  <si>
    <t>dugoročni depoziti-hipotekarna</t>
  </si>
  <si>
    <t>odložena poreska sredstva od neiskorišćenih poreskih kredita</t>
  </si>
  <si>
    <t>10000000</t>
  </si>
  <si>
    <t>11000000</t>
  </si>
  <si>
    <t>11000001</t>
  </si>
  <si>
    <t>11000002</t>
  </si>
  <si>
    <t>11000003</t>
  </si>
  <si>
    <t>11000004</t>
  </si>
  <si>
    <t>11000005</t>
  </si>
  <si>
    <t>11300001</t>
  </si>
  <si>
    <t>11300002</t>
  </si>
  <si>
    <t>11300003</t>
  </si>
  <si>
    <t>12000000</t>
  </si>
  <si>
    <t>potraživanja od osiguranika u državi</t>
  </si>
  <si>
    <t>12900000</t>
  </si>
  <si>
    <t>16000000</t>
  </si>
  <si>
    <t>17000000</t>
  </si>
  <si>
    <t>17100000</t>
  </si>
  <si>
    <t>17500001</t>
  </si>
  <si>
    <t>17500002</t>
  </si>
  <si>
    <t>18300000</t>
  </si>
  <si>
    <t>19800000</t>
  </si>
  <si>
    <t>21300001</t>
  </si>
  <si>
    <t>21300002</t>
  </si>
  <si>
    <t>21300003</t>
  </si>
  <si>
    <t>21310001</t>
  </si>
  <si>
    <t>21400000</t>
  </si>
  <si>
    <t>obaveze za poreze -zimnica</t>
  </si>
  <si>
    <t>21400001</t>
  </si>
  <si>
    <t>22000000</t>
  </si>
  <si>
    <t>22200000</t>
  </si>
  <si>
    <t>22700000</t>
  </si>
  <si>
    <t>25400000</t>
  </si>
  <si>
    <t>obaveze prema nadzornom organu</t>
  </si>
  <si>
    <t>27100000</t>
  </si>
  <si>
    <t>27200000</t>
  </si>
  <si>
    <t xml:space="preserve">kratkoročne obaveze poslodavca za poreze i doprinose </t>
  </si>
  <si>
    <t>27200001</t>
  </si>
  <si>
    <t>27200002</t>
  </si>
  <si>
    <t>27200003</t>
  </si>
  <si>
    <t>27200004</t>
  </si>
  <si>
    <t>27200006</t>
  </si>
  <si>
    <t>27200007</t>
  </si>
  <si>
    <t>27200008</t>
  </si>
  <si>
    <t>27200009</t>
  </si>
  <si>
    <t>obaveze za prirez porezu na plate</t>
  </si>
  <si>
    <t>obaveze za Fond za rekreaciju zaposlenih</t>
  </si>
  <si>
    <t>27210001</t>
  </si>
  <si>
    <t>27300000</t>
  </si>
  <si>
    <t>27310000</t>
  </si>
  <si>
    <t>27400000</t>
  </si>
  <si>
    <t>96000000</t>
  </si>
  <si>
    <t>40000000</t>
  </si>
  <si>
    <t>40100000</t>
  </si>
  <si>
    <t>40430000</t>
  </si>
  <si>
    <t>40500000</t>
  </si>
  <si>
    <t>40700000</t>
  </si>
  <si>
    <t>40630000</t>
  </si>
  <si>
    <t>promjena rezervisanja za nastale prijavljene štete za reosiguravajući dio u inostranstvu</t>
  </si>
  <si>
    <t>1.7..</t>
  </si>
  <si>
    <t>40800000</t>
  </si>
  <si>
    <t>41200000</t>
  </si>
  <si>
    <t>41300000</t>
  </si>
  <si>
    <t>41400000</t>
  </si>
  <si>
    <t>41700000</t>
  </si>
  <si>
    <t>promjena prenosne premije za reosiguravajući dio</t>
  </si>
  <si>
    <t>42300000</t>
  </si>
  <si>
    <t>42400000</t>
  </si>
  <si>
    <t>troškovi ispravke vrijesnosti premije osiguranja</t>
  </si>
  <si>
    <t>3.5..</t>
  </si>
  <si>
    <t>42900000</t>
  </si>
  <si>
    <t>drugi neto troškovi osiguranje (isp. Vrijednosti ERL)</t>
  </si>
  <si>
    <t>43100000</t>
  </si>
  <si>
    <t>43100001</t>
  </si>
  <si>
    <t>43200000</t>
  </si>
  <si>
    <t>43300000</t>
  </si>
  <si>
    <t>43900000</t>
  </si>
  <si>
    <t>44000000</t>
  </si>
  <si>
    <t>44200000</t>
  </si>
  <si>
    <t>44300000</t>
  </si>
  <si>
    <t>44500000</t>
  </si>
  <si>
    <t>44800003</t>
  </si>
  <si>
    <t>44800000</t>
  </si>
  <si>
    <t>44800001</t>
  </si>
  <si>
    <t>44800002</t>
  </si>
  <si>
    <t>44800004</t>
  </si>
  <si>
    <t>44800005</t>
  </si>
  <si>
    <t>44800006</t>
  </si>
  <si>
    <t>44800007</t>
  </si>
  <si>
    <t>44900000</t>
  </si>
  <si>
    <t>44900001</t>
  </si>
  <si>
    <t>44900002</t>
  </si>
  <si>
    <t>44900003</t>
  </si>
  <si>
    <t>44900004</t>
  </si>
  <si>
    <t>44900005</t>
  </si>
  <si>
    <t>44900006</t>
  </si>
  <si>
    <t>44910000</t>
  </si>
  <si>
    <t>44920000</t>
  </si>
  <si>
    <t>44920001</t>
  </si>
  <si>
    <t>44930000</t>
  </si>
  <si>
    <t>44930001</t>
  </si>
  <si>
    <t>45000000</t>
  </si>
  <si>
    <t>45200000</t>
  </si>
  <si>
    <t>46000000</t>
  </si>
  <si>
    <t>47000000</t>
  </si>
  <si>
    <t>47100000</t>
  </si>
  <si>
    <t>47300000</t>
  </si>
  <si>
    <t>47300001</t>
  </si>
  <si>
    <t>47300002</t>
  </si>
  <si>
    <t>47300003</t>
  </si>
  <si>
    <t>doprinos za PIO na teret zaposlenog-zimnica</t>
  </si>
  <si>
    <t>47300004</t>
  </si>
  <si>
    <t>doprinos za zdravstveno osiguranje na teret zaposlenog- zimnica</t>
  </si>
  <si>
    <t>47300005</t>
  </si>
  <si>
    <t>doprinos za nezaposlenost na teret zaposlenog-zimnica</t>
  </si>
  <si>
    <t>47310000</t>
  </si>
  <si>
    <t>47310001</t>
  </si>
  <si>
    <t>47310002</t>
  </si>
  <si>
    <t>47310003</t>
  </si>
  <si>
    <t>47310004</t>
  </si>
  <si>
    <t>47310005</t>
  </si>
  <si>
    <t>doprinos za PIO na teret poslodavca-zimnica</t>
  </si>
  <si>
    <t>doprinos za zdravstveno osiguranje na teret poslodavca-zimnica</t>
  </si>
  <si>
    <t>doprinos za nezaposlenost na teret poslodavca-zimnica</t>
  </si>
  <si>
    <t>47310006</t>
  </si>
  <si>
    <t>47310007</t>
  </si>
  <si>
    <t>47310008</t>
  </si>
  <si>
    <t>47310009</t>
  </si>
  <si>
    <t>47310010</t>
  </si>
  <si>
    <t>47400000</t>
  </si>
  <si>
    <t>47400002</t>
  </si>
  <si>
    <t>48400000</t>
  </si>
  <si>
    <t>48500000</t>
  </si>
  <si>
    <t>48500001</t>
  </si>
  <si>
    <t>48600000</t>
  </si>
  <si>
    <t>48600001</t>
  </si>
  <si>
    <t>48600002</t>
  </si>
  <si>
    <t>48600003</t>
  </si>
  <si>
    <t>48600004</t>
  </si>
  <si>
    <t>48600005</t>
  </si>
  <si>
    <t>48600006</t>
  </si>
  <si>
    <t>48600007</t>
  </si>
  <si>
    <t>82000000</t>
  </si>
  <si>
    <t>75000000</t>
  </si>
  <si>
    <t>75510000</t>
  </si>
  <si>
    <t>smanjenje za udjele reosiguravača u premijama osiguranja</t>
  </si>
  <si>
    <t>1.5.</t>
  </si>
  <si>
    <t>76000001</t>
  </si>
  <si>
    <t>75600000</t>
  </si>
  <si>
    <t>promjena bruto prenosnih premija u državi</t>
  </si>
  <si>
    <t>1.6.</t>
  </si>
  <si>
    <t>76400001</t>
  </si>
  <si>
    <t>76900001</t>
  </si>
  <si>
    <t>76900000</t>
  </si>
  <si>
    <t xml:space="preserve">prihodi od drugih usluga </t>
  </si>
  <si>
    <t>76900002</t>
  </si>
  <si>
    <t>77000000</t>
  </si>
  <si>
    <t>77000001</t>
  </si>
  <si>
    <t>77000005</t>
  </si>
  <si>
    <t>90030000</t>
  </si>
  <si>
    <t>92000000</t>
  </si>
  <si>
    <t>97020000</t>
  </si>
  <si>
    <t>97410000</t>
  </si>
  <si>
    <t>98020000</t>
  </si>
  <si>
    <t>98220000</t>
  </si>
  <si>
    <t>98320000</t>
  </si>
  <si>
    <t>obaveze za neto plate</t>
  </si>
  <si>
    <t>obaveze za PIO na teret zaposlenog-plate</t>
  </si>
  <si>
    <t>obaveze za zdravstvo na teret zaposlenog-plate</t>
  </si>
  <si>
    <t>obaveze za nezaposelnost na teret zaposlenog-plate</t>
  </si>
  <si>
    <t>obaveze za PIO na teret zaposlenog-zimnica</t>
  </si>
  <si>
    <t>obaveze za poreze iz bruto plate</t>
  </si>
  <si>
    <t>obaveze prema osiguravačim i osiguranicima za iznose odšteta u državi</t>
  </si>
  <si>
    <t>obaveze prema posrednicima u osiguranju u državi</t>
  </si>
  <si>
    <t>kratkoročne obaveze za poreze i doprinose iz dobiti</t>
  </si>
  <si>
    <t>obaveze za PIO na teret poslodavca-plate</t>
  </si>
  <si>
    <t>obaveze za zdravstvo na teret poslodavca-plate</t>
  </si>
  <si>
    <t>obaveze za nezaposlenost na teret poslodavca-plate</t>
  </si>
  <si>
    <t>obaveze za PIO na teret poslodavca-zimnica</t>
  </si>
  <si>
    <t>kratkoročne obaveze prema dobaljačima u državi</t>
  </si>
  <si>
    <t>kratkoročne obaveze prema dobaljačima u inostranstvu</t>
  </si>
  <si>
    <t>Udio reosiguranja u matematičkoj rezervi (+)</t>
  </si>
  <si>
    <t>Udio reosiguranja u prenosnoj premiji (+)</t>
  </si>
  <si>
    <t>Udio reosiguranja u rezervisanjima za nastale prijavljene štete (+)</t>
  </si>
  <si>
    <t>Udio reosiguranja u rezervisanjima za nastale ne prijavljene štete (IBNR)(+)</t>
  </si>
  <si>
    <t>01100004</t>
  </si>
  <si>
    <t>Putnička vozila za neposredno obavljanje djelatnosti</t>
  </si>
  <si>
    <t>01920004</t>
  </si>
  <si>
    <t>Ispravka vrijednosti putničkih vozila za neposredno obavljanje djelatnosti</t>
  </si>
  <si>
    <t>03400005</t>
  </si>
  <si>
    <t>dugoročni depozit Hypo alpe adria</t>
  </si>
  <si>
    <t>14300000</t>
  </si>
  <si>
    <t>potraživanja od reosiguravajućeg društva za udjele u iznosu šteta - u inostranstvu</t>
  </si>
  <si>
    <t>21000001</t>
  </si>
  <si>
    <t>41600000</t>
  </si>
  <si>
    <t>Promjena bruto rezervisanja za prenosne premije</t>
  </si>
  <si>
    <t>44300001</t>
  </si>
  <si>
    <t>44300002</t>
  </si>
  <si>
    <t>trošak poreza na ugovor o djelu</t>
  </si>
  <si>
    <t>trošak prireza na ugovor o djelu</t>
  </si>
  <si>
    <t>44600000</t>
  </si>
  <si>
    <t>troškovi intelektualnih i privatnih usluga</t>
  </si>
  <si>
    <t>76900004</t>
  </si>
  <si>
    <t>Prihodi za plaćene odštetne zahtjeve reosiguranja</t>
  </si>
  <si>
    <t>76900005</t>
  </si>
  <si>
    <t>Prihodi po osnovu donacije grac</t>
  </si>
  <si>
    <t>97000000</t>
  </si>
  <si>
    <t>98000000</t>
  </si>
  <si>
    <t>bruto prenosne premije</t>
  </si>
  <si>
    <t>98200000</t>
  </si>
  <si>
    <t>Bruto rezervisanja za nastale prijavljene štete</t>
  </si>
  <si>
    <t>98300000</t>
  </si>
  <si>
    <t>Bruto rezervisanja za nastale neprijavljene štete (IBNR)</t>
  </si>
  <si>
    <t>E.2.4.</t>
  </si>
  <si>
    <t>02400000</t>
  </si>
  <si>
    <t>Dugoročni depozit NLB</t>
  </si>
  <si>
    <t>02400001</t>
  </si>
  <si>
    <t>02400002</t>
  </si>
  <si>
    <t>02400003</t>
  </si>
  <si>
    <t>02400004</t>
  </si>
  <si>
    <t>02400005</t>
  </si>
  <si>
    <t>Dugoročni depozit atlasmont</t>
  </si>
  <si>
    <t>Dugoročni depozit erste</t>
  </si>
  <si>
    <t>Dugoročni depozit ckb</t>
  </si>
  <si>
    <t>Dugoročni depozit hipotekarna</t>
  </si>
  <si>
    <t>11000006</t>
  </si>
  <si>
    <t>premijski račun hipo alpe adria</t>
  </si>
  <si>
    <t>18100001</t>
  </si>
  <si>
    <t>18100005</t>
  </si>
  <si>
    <t>kratkoročni depozit hipo alpe adria</t>
  </si>
  <si>
    <t>kratkoročni depozit nlb</t>
  </si>
  <si>
    <t>19800002</t>
  </si>
  <si>
    <t>AVR-unaprijed plaćeni zakup</t>
  </si>
  <si>
    <t>48000001</t>
  </si>
  <si>
    <t>49300001</t>
  </si>
  <si>
    <t>trošak goriva</t>
  </si>
  <si>
    <t>76900003</t>
  </si>
  <si>
    <t>Prihod od profitne provizije reosiguranja</t>
  </si>
  <si>
    <t>trošak prevoza na prevod automobila</t>
  </si>
  <si>
    <t>77000100</t>
  </si>
  <si>
    <t>77000200</t>
  </si>
  <si>
    <t>prihodi od ulaganja koja se NE finansirau iz tehničkih rezervi</t>
  </si>
  <si>
    <t>prihodi od ulaganja koja se finansirau iz tehničkih rezervi</t>
  </si>
  <si>
    <t>4.1.</t>
  </si>
  <si>
    <t>dugoročni depozit Podgorička</t>
  </si>
  <si>
    <t>02400007</t>
  </si>
  <si>
    <t>Krediti zaposlenima</t>
  </si>
  <si>
    <t>03700000</t>
  </si>
  <si>
    <t>dugoročna fin. Ulaganja-predujmovi</t>
  </si>
  <si>
    <t>11000007</t>
  </si>
  <si>
    <t>11000008</t>
  </si>
  <si>
    <t>račun podgorička</t>
  </si>
  <si>
    <t>premijski račun podgorička</t>
  </si>
  <si>
    <t>Druga aktivna vremenska razgraničenja</t>
  </si>
  <si>
    <t>21210000</t>
  </si>
  <si>
    <t>obaveze za zimnicu</t>
  </si>
  <si>
    <t>21310002</t>
  </si>
  <si>
    <t>obaveze za zdravstvo na teret zaposlenog-zimnica</t>
  </si>
  <si>
    <t>21310003</t>
  </si>
  <si>
    <t>obaveze za nezaposelnost na teret zaposlenog-zimnica</t>
  </si>
  <si>
    <t>25700001</t>
  </si>
  <si>
    <t>obaveze po osnovu predujma</t>
  </si>
  <si>
    <t>27210002</t>
  </si>
  <si>
    <t>27210003</t>
  </si>
  <si>
    <t>obaveze za zdravstvo na teret poslodavca-zimnica</t>
  </si>
  <si>
    <t>obaveze za nezaposlenost na teret poslodavca-zimnica</t>
  </si>
  <si>
    <t>Kratkoročno odloženi prihodi-predujam</t>
  </si>
  <si>
    <t>C.1.10.</t>
  </si>
  <si>
    <t>1.2..</t>
  </si>
  <si>
    <t>76400000</t>
  </si>
  <si>
    <t>prihodi od ukinutuh rezervisanja osim tehničkih rezervisanja</t>
  </si>
  <si>
    <t>82300000</t>
  </si>
  <si>
    <t>prihodi ( rashodi ) na ime odloženog poreza</t>
  </si>
  <si>
    <t>95700000</t>
  </si>
  <si>
    <t>Obaveze za odloženi porez</t>
  </si>
  <si>
    <t>E.4.</t>
  </si>
  <si>
    <t>3.7..</t>
  </si>
  <si>
    <t>91130000</t>
  </si>
  <si>
    <t>Rezerve za pripis dobiti osiguranicima</t>
  </si>
  <si>
    <t>B.2.4.</t>
  </si>
  <si>
    <t>D.2. Kratkoročne obaveze za premije sa/reosiguranja</t>
  </si>
  <si>
    <t>6511</t>
  </si>
  <si>
    <t>92100000</t>
  </si>
  <si>
    <t>KAPITAL I REZERVISANJA</t>
  </si>
  <si>
    <t>F..</t>
  </si>
  <si>
    <t>2.26..</t>
  </si>
  <si>
    <t>44700000</t>
  </si>
  <si>
    <t>6.4..</t>
  </si>
  <si>
    <t>amortizacija sitnog invetnara (rashodovanj)</t>
  </si>
  <si>
    <t>97000001</t>
  </si>
  <si>
    <t>bruto  matematička rezervisanja za životna osiguranja-Cilmer</t>
  </si>
  <si>
    <t>bruto  matematička rezervisanja za životna osiguranja-P.Premija života</t>
  </si>
  <si>
    <t>97412000</t>
  </si>
  <si>
    <t>Rezerva za pripisanu dobit</t>
  </si>
  <si>
    <t>43000000</t>
  </si>
  <si>
    <t>Troškovi materijala za popravku i održavanje</t>
  </si>
  <si>
    <t>02400008</t>
  </si>
  <si>
    <t>dugoročni depozit Prva banka CG</t>
  </si>
  <si>
    <t>02750000</t>
  </si>
  <si>
    <t>11000009</t>
  </si>
  <si>
    <t>11000010</t>
  </si>
  <si>
    <t>račun prva banka cg</t>
  </si>
  <si>
    <t>račun first financijal bank</t>
  </si>
  <si>
    <t>23300000</t>
  </si>
  <si>
    <t>obaveze prema reosigurvajućim društvima za premiju</t>
  </si>
  <si>
    <t>kratkoročne obaveze prema dobaljačima -povezana lica</t>
  </si>
  <si>
    <t>41200001</t>
  </si>
  <si>
    <t>41200002</t>
  </si>
  <si>
    <t>promjene bruto matematičkih rezervisanja prenosna premija života</t>
  </si>
  <si>
    <t>promjene bruto matematičkih rezervisanja prenosna premija zdravstvo</t>
  </si>
  <si>
    <t>promjene bruto matematičkih rezervisanja -cilmer</t>
  </si>
  <si>
    <t>97000002</t>
  </si>
  <si>
    <t>bruto  matematička rezervisanja p.p zdravstvo</t>
  </si>
  <si>
    <t>27311000</t>
  </si>
  <si>
    <t>5.1..</t>
  </si>
  <si>
    <t>5.4..</t>
  </si>
  <si>
    <t>29000000</t>
  </si>
  <si>
    <t>42410000</t>
  </si>
  <si>
    <t>troškovi ispravke vrijesnosti premije osiguranja-prošla godina</t>
  </si>
  <si>
    <t>44710000</t>
  </si>
  <si>
    <t>Premije osiguranja osim kola</t>
  </si>
  <si>
    <t>Premije osiguranja kola</t>
  </si>
  <si>
    <t>C.1.2.</t>
  </si>
  <si>
    <t>državne obveznice-dugoročne</t>
  </si>
  <si>
    <t>04100000 vers 9904100000</t>
  </si>
  <si>
    <t>01100006</t>
  </si>
  <si>
    <t>12000001</t>
  </si>
  <si>
    <t>potraživanja za kamate predujmovi</t>
  </si>
  <si>
    <t>22700001</t>
  </si>
  <si>
    <t>neraspoređene uplate premija</t>
  </si>
  <si>
    <t>Ostale druge kratkoročne obaveze ukalkulisani troškovi za koje nema faktura</t>
  </si>
  <si>
    <t>27700000 (293)</t>
  </si>
  <si>
    <t>troskovi sluzbenog puta</t>
  </si>
  <si>
    <t>prihodi od kamate</t>
  </si>
  <si>
    <t>prihodi od kamate-predujam</t>
  </si>
  <si>
    <t>77050000</t>
  </si>
  <si>
    <t>prihodi od kamate-obveznice</t>
  </si>
  <si>
    <t>umjetinička djela</t>
  </si>
  <si>
    <t>devizni račun ckb</t>
  </si>
  <si>
    <t>druge kratkoročne obaveze iz neposrednih poslova osiguranja u državi ugovori u pretplati</t>
  </si>
  <si>
    <t>19200000</t>
  </si>
  <si>
    <t>Odloženi troškovi sticanja osiguranja-provizije</t>
  </si>
  <si>
    <t>44100000</t>
  </si>
  <si>
    <t>promjene u razgraničenim troškovima provizija</t>
  </si>
  <si>
    <t>2..</t>
  </si>
  <si>
    <t>P.S.Duguje</t>
  </si>
  <si>
    <t>P.S.Potrazuje</t>
  </si>
  <si>
    <t>novac na računu</t>
  </si>
  <si>
    <t>novac na deviznom računu</t>
  </si>
  <si>
    <t>novac u blagajni</t>
  </si>
  <si>
    <t>UKUPNA NOVČANA SREDSTVA</t>
  </si>
  <si>
    <t>dospjele obaveze iz osiguravajuće djelatnosti</t>
  </si>
  <si>
    <t>dospjele obaveze iz finansijskih aktivnoti</t>
  </si>
  <si>
    <t>ostale dospjele obaveze</t>
  </si>
  <si>
    <t>UKUPNO DOSPJELE OBAVEZE</t>
  </si>
  <si>
    <t>STRUKTURA TROŠKOVA (AGENCIJA)</t>
  </si>
  <si>
    <t>Troškovi uprave</t>
  </si>
  <si>
    <t>Troškovi pribave</t>
  </si>
  <si>
    <t>Troškovi izviđaja, procjene, likvidacije i isplate šteta</t>
  </si>
  <si>
    <t>Troškovi ispravke vrijednosti premije</t>
  </si>
  <si>
    <t>POSLOVNI RASHODI ( ANO)</t>
  </si>
  <si>
    <t>Ukupni poslovni rashodi iz bilansa uspjeha</t>
  </si>
  <si>
    <t>UKUPNI POSLOVNI RASHODI KOJI SE KORISTE ZA KVOTU TROŠKOVA</t>
  </si>
  <si>
    <t>Troškovi sprovođenja osiguranja (ANO)</t>
  </si>
  <si>
    <t xml:space="preserve">Troškovi sprovođenja </t>
  </si>
  <si>
    <t>Umanjenje za prihode od provizije reosiguranja</t>
  </si>
  <si>
    <t>UKUPNO ZA KVOTU TROŠKOVA</t>
  </si>
  <si>
    <t>za marketing budget</t>
  </si>
  <si>
    <t>Obračun garantne i tehničke rezerve</t>
  </si>
  <si>
    <t>Kapital društva za osiguranje (Zakon o osiguranju 2012. član 92</t>
  </si>
  <si>
    <t>OSNOVNI KAPITAL (ČLAN 92a)</t>
  </si>
  <si>
    <t>Uplaćeni akijski kapita društva</t>
  </si>
  <si>
    <t>Rezerve kapitala koje se ne odnose na obaveze iz osiguranja</t>
  </si>
  <si>
    <t>Rezerve iz dobiti</t>
  </si>
  <si>
    <t>Prenesena dobit iz prethodnih godina</t>
  </si>
  <si>
    <t>OBRAČUNATI OSNOVNI KAPITAL SE UMANJUJE ZA :</t>
  </si>
  <si>
    <t>Otkupljene sopstvene akcije</t>
  </si>
  <si>
    <t>Nematerijalna imovina</t>
  </si>
  <si>
    <t>Preneseni gubitak i gubitak tekuće godine</t>
  </si>
  <si>
    <t>Razliku nediskontovanih i diskontovanih tehničkih rezervi za rezervisane štete</t>
  </si>
  <si>
    <t>UKUPNI OSNOVNI KAPITAL</t>
  </si>
  <si>
    <t>DOPUNSKI KAPITAL (ČLAN 92b)</t>
  </si>
  <si>
    <t>Akcijski kapital uplaćen na osnuvu prioritetnih akcija</t>
  </si>
  <si>
    <t>Podređeni dužnički instrumenti</t>
  </si>
  <si>
    <t>Rezerve kapitala povezane sa prioritetnim akcijama</t>
  </si>
  <si>
    <t>Vrijednost matematičke rezerve koja ne uzima u obzir stvarni troška pribavljanja osiguranja...</t>
  </si>
  <si>
    <t>Revalorizacione rezreve imovine koje ne ulaze u sastva imovine za pokriće tehničke rezerve</t>
  </si>
  <si>
    <t>1/3 sredstava kapitala</t>
  </si>
  <si>
    <t>Bruto tehnička rezerva</t>
  </si>
  <si>
    <t>Ukupna iznos za deponovanje</t>
  </si>
  <si>
    <t>Potrebno po banci</t>
  </si>
  <si>
    <t>Udio reosiguravača u tehničkim rezervama</t>
  </si>
  <si>
    <t>Naziv društva:</t>
  </si>
  <si>
    <t>MERKUR OSIGURANJE a.d.</t>
  </si>
  <si>
    <t>Sjedište:</t>
  </si>
  <si>
    <t>Vrsta osiguranja:</t>
  </si>
  <si>
    <t>životno</t>
  </si>
  <si>
    <t>Pozicija</t>
  </si>
  <si>
    <t>Uplaćeni kapital-redovne akcije</t>
  </si>
  <si>
    <t>Uplaćeni kapital-povlašćene akcije</t>
  </si>
  <si>
    <t>Revalorizacijska rezerva-zemljište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</si>
  <si>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</si>
  <si>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</si>
  <si>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</si>
  <si>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</si>
  <si>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</si>
  <si>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</si>
  <si>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</si>
  <si>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</si>
  <si>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</si>
  <si>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</si>
  <si>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</si>
  <si>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</si>
  <si>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Revalorizacioni dobici/gubici od finansijske imovine raspoložive za prodaju</t>
  </si>
  <si>
    <t>Ostali dobici/gubici priznati direktno u kapitalu i rezervama</t>
  </si>
  <si>
    <t>Dobitak/gubitak tekućeg perioda perioda</t>
  </si>
  <si>
    <t>Povećanje/smanjenje osnovnog kapitala</t>
  </si>
  <si>
    <t>Dividende</t>
  </si>
  <si>
    <t>Prenos dobiti u rezerve</t>
  </si>
  <si>
    <t>Stanje na dan 1. januar tekuće godine</t>
  </si>
  <si>
    <t>Ispravka greški prethodnih razdoblja</t>
  </si>
  <si>
    <t>Stanje na dan 1. januar tekuće godine (prepravljeno)</t>
  </si>
  <si>
    <t>Dobitak/gubitak tekućeg perioda</t>
  </si>
  <si>
    <t>U Podgorici,</t>
  </si>
  <si>
    <t>Lice odgovorno za sastavljanje izvještaja:</t>
  </si>
  <si>
    <t>Pečat CRPS</t>
  </si>
  <si>
    <t>žiro račun CKB (novi)</t>
  </si>
  <si>
    <t>04100001</t>
  </si>
  <si>
    <t>kuponske državne obveznice</t>
  </si>
  <si>
    <t>16700000</t>
  </si>
  <si>
    <t>77050001</t>
  </si>
  <si>
    <t>prihodi od kamate-obveznice kuponske</t>
  </si>
  <si>
    <t>04100002</t>
  </si>
  <si>
    <t>kuponske državne obveznice -MNE2019</t>
  </si>
  <si>
    <t>02400010</t>
  </si>
  <si>
    <t>dugoročni depozit Komercijalna Budva</t>
  </si>
  <si>
    <t>11000011</t>
  </si>
  <si>
    <t>11000012</t>
  </si>
  <si>
    <t>16000002</t>
  </si>
  <si>
    <t>potraživanja za kamate-obveznice</t>
  </si>
  <si>
    <t xml:space="preserve">druga kratkoročna potraživanja </t>
  </si>
  <si>
    <t>02400011</t>
  </si>
  <si>
    <t>dugoročni depozit Lovćen</t>
  </si>
  <si>
    <t>11000013</t>
  </si>
  <si>
    <t>18300002</t>
  </si>
  <si>
    <t>18300004</t>
  </si>
  <si>
    <t>18300005</t>
  </si>
  <si>
    <t>18300006</t>
  </si>
  <si>
    <t>18300007</t>
  </si>
  <si>
    <t>Kratkoročni depoti-Hipotekarna</t>
  </si>
  <si>
    <t>Kratkoročni depoti-NLB</t>
  </si>
  <si>
    <t>Kratkoročni depoti-Atlas</t>
  </si>
  <si>
    <t>Kratkoročni depoti-Podgorička</t>
  </si>
  <si>
    <t>19800003</t>
  </si>
  <si>
    <t>AVR-unaprijed plaćeni zakup stana</t>
  </si>
  <si>
    <t>44200001</t>
  </si>
  <si>
    <t>Zakup stana</t>
  </si>
  <si>
    <t>17500003</t>
  </si>
  <si>
    <t>potraživanja po osnovu ugovora mihag</t>
  </si>
  <si>
    <t>46900000</t>
  </si>
  <si>
    <t>troškovi rezervisanja za sudske sporove</t>
  </si>
  <si>
    <t>3.9..</t>
  </si>
  <si>
    <t>Prihodi od prefakturisavanja troškova</t>
  </si>
  <si>
    <t>96700001</t>
  </si>
  <si>
    <t>rezervisanja za sudske sporove</t>
  </si>
  <si>
    <t>C.3.2.</t>
  </si>
  <si>
    <t>92000001</t>
  </si>
  <si>
    <t>02400012</t>
  </si>
  <si>
    <t>dugoročni depozit IBM</t>
  </si>
  <si>
    <t>04100003</t>
  </si>
  <si>
    <t>kuponske državne obveznice -MNE2020</t>
  </si>
  <si>
    <t>11000014</t>
  </si>
  <si>
    <t>E-MARKETING</t>
  </si>
  <si>
    <t>44800008</t>
  </si>
  <si>
    <t>troškovi reklame- prefakturisani troškovi marketinga</t>
  </si>
  <si>
    <t>neto tehnička</t>
  </si>
  <si>
    <t>11300004</t>
  </si>
  <si>
    <t>devizni račun CKB ME (dokapitalizacija)</t>
  </si>
  <si>
    <t>19800004</t>
  </si>
  <si>
    <t>27700001</t>
  </si>
  <si>
    <t>44000002</t>
  </si>
  <si>
    <t>76900007</t>
  </si>
  <si>
    <t>žiro račun komercijalna Budva</t>
  </si>
  <si>
    <t>žiro račun Lovćen</t>
  </si>
  <si>
    <t>žiro račun  IBM</t>
  </si>
  <si>
    <t>Stanje na dan 31. decembar prethodne godine</t>
  </si>
  <si>
    <t>18200000</t>
  </si>
  <si>
    <t>HOV-kratkoročne</t>
  </si>
  <si>
    <t>BILANS STANJA</t>
  </si>
  <si>
    <t>BILANS USPJEHA</t>
  </si>
  <si>
    <t>IZVJEŠTAJ O PROMJENAMA NA KAPITALU</t>
  </si>
  <si>
    <t>04100004</t>
  </si>
  <si>
    <t>kuponske državne obveznice -MNE2021</t>
  </si>
  <si>
    <t>09000000</t>
  </si>
  <si>
    <t>Ulaganje u obveznice</t>
  </si>
  <si>
    <t>Ulaganje u depozite</t>
  </si>
  <si>
    <t>Ulaganje u predujmove</t>
  </si>
  <si>
    <t>Obaveze za premije reosiguranja i saosiguranja</t>
  </si>
  <si>
    <t xml:space="preserve">     Administrative expenses</t>
  </si>
  <si>
    <t xml:space="preserve">      Investment management expenses</t>
  </si>
  <si>
    <t xml:space="preserve">     Claims management expenses</t>
  </si>
  <si>
    <t xml:space="preserve">     Acquisition expenses</t>
  </si>
  <si>
    <t xml:space="preserve">     Overhead expenses</t>
  </si>
  <si>
    <t>Other expenses</t>
  </si>
  <si>
    <t>+G179+G186</t>
  </si>
  <si>
    <t>96700000</t>
  </si>
  <si>
    <t>ostala rezervisanja</t>
  </si>
  <si>
    <t>Stanje na dan 31. decembar tekuće godine</t>
  </si>
  <si>
    <t>ove prihode sam svela na 0 da bih ih podijelila na one koji se finansiraju i one koji se ne finansiraju</t>
  </si>
  <si>
    <t>Kratkoročni depoti</t>
  </si>
  <si>
    <t>21800000</t>
  </si>
  <si>
    <t>druge kratkoročne obaveze prema zaposlenima</t>
  </si>
  <si>
    <t>45300000</t>
  </si>
  <si>
    <t>80100000   Jahresgewinn / Jahresverlust</t>
  </si>
  <si>
    <t>razlika</t>
  </si>
  <si>
    <t>66820505   Prih.od kam.-obveznice</t>
  </si>
  <si>
    <t>66820507   Pri.kamta-kuponske obveznice</t>
  </si>
  <si>
    <t>kontrola</t>
  </si>
  <si>
    <t>Od 01.01. do 31.03.2017.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</si>
</sst>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6" tint="-0.249977111117893"/>
      <name val="Calibri"/>
      <family val="2"/>
      <charset val="238"/>
      <scheme val="minor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color rgb="FFFF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3" xfId="0" applyBorder="1"/>
    <xf numFmtId="0" fontId="0" fillId="0" borderId="4" xfId="0" applyBorder="1"/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9" fontId="0" fillId="0" borderId="0" xfId="0" applyNumberFormat="1"/>
    <xf numFmtId="4" fontId="0" fillId="0" borderId="0" xfId="0" applyNumberFormat="1"/>
    <xf numFmtId="0" fontId="0" fillId="2" borderId="0" xfId="0" applyFill="1"/>
    <xf numFmtId="4" fontId="0" fillId="2" borderId="0" xfId="0" applyNumberFormat="1" applyFill="1"/>
    <xf numFmtId="0" fontId="0" fillId="0" borderId="0" xfId="0" applyFill="1" applyAlignment="1">
      <alignment wrapText="1"/>
    </xf>
    <xf numFmtId="0" fontId="0" fillId="0" borderId="2" xfId="0" applyFill="1" applyBorder="1" applyAlignment="1">
      <alignment wrapText="1"/>
    </xf>
    <xf numFmtId="4" fontId="9" fillId="0" borderId="2" xfId="0" applyNumberFormat="1" applyFont="1" applyFill="1" applyBorder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49" fontId="9" fillId="0" borderId="0" xfId="0" applyNumberFormat="1" applyFont="1" applyFill="1" applyBorder="1" applyAlignment="1">
      <alignment horizontal="center" shrinkToFit="1"/>
    </xf>
    <xf numFmtId="0" fontId="9" fillId="0" borderId="0" xfId="0" applyFont="1" applyFill="1" applyBorder="1" applyAlignment="1">
      <alignment wrapText="1" shrinkToFit="1"/>
    </xf>
    <xf numFmtId="4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 wrapText="1" shrinkToFit="1"/>
    </xf>
    <xf numFmtId="49" fontId="9" fillId="0" borderId="6" xfId="0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wrapText="1" shrinkToFit="1"/>
    </xf>
    <xf numFmtId="4" fontId="9" fillId="0" borderId="7" xfId="0" applyNumberFormat="1" applyFont="1" applyFill="1" applyBorder="1" applyAlignment="1">
      <alignment horizontal="center"/>
    </xf>
    <xf numFmtId="4" fontId="9" fillId="0" borderId="8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49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 wrapText="1" shrinkToFit="1"/>
    </xf>
    <xf numFmtId="4" fontId="11" fillId="0" borderId="2" xfId="0" applyNumberFormat="1" applyFont="1" applyFill="1" applyBorder="1" applyAlignment="1">
      <alignment horizontal="right"/>
    </xf>
    <xf numFmtId="49" fontId="12" fillId="0" borderId="2" xfId="0" applyNumberFormat="1" applyFont="1" applyFill="1" applyBorder="1" applyAlignment="1">
      <alignment horizontal="left" wrapText="1" shrinkToFit="1"/>
    </xf>
    <xf numFmtId="0" fontId="9" fillId="0" borderId="0" xfId="0" applyFont="1" applyFill="1" applyAlignment="1">
      <alignment horizontal="left" wrapText="1" shrinkToFit="1"/>
    </xf>
    <xf numFmtId="0" fontId="5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horizontal="left" wrapText="1" shrinkToFit="1"/>
    </xf>
    <xf numFmtId="0" fontId="13" fillId="0" borderId="2" xfId="0" applyFont="1" applyFill="1" applyBorder="1" applyAlignment="1">
      <alignment horizontal="left" wrapText="1" shrinkToFit="1"/>
    </xf>
    <xf numFmtId="4" fontId="0" fillId="0" borderId="0" xfId="0" applyNumberFormat="1" applyFill="1"/>
    <xf numFmtId="49" fontId="0" fillId="0" borderId="0" xfId="0" applyNumberFormat="1" applyFill="1"/>
    <xf numFmtId="0" fontId="0" fillId="0" borderId="0" xfId="0" applyFill="1"/>
    <xf numFmtId="4" fontId="9" fillId="0" borderId="0" xfId="0" applyNumberFormat="1" applyFont="1" applyFill="1" applyAlignment="1">
      <alignment horizontal="center"/>
    </xf>
    <xf numFmtId="0" fontId="16" fillId="0" borderId="3" xfId="0" applyFont="1" applyBorder="1"/>
    <xf numFmtId="49" fontId="16" fillId="0" borderId="5" xfId="0" applyNumberFormat="1" applyFont="1" applyBorder="1"/>
    <xf numFmtId="0" fontId="17" fillId="0" borderId="4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16" fillId="0" borderId="1" xfId="0" applyFont="1" applyBorder="1"/>
    <xf numFmtId="49" fontId="8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/>
    <xf numFmtId="0" fontId="8" fillId="0" borderId="4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wrapText="1"/>
    </xf>
    <xf numFmtId="49" fontId="3" fillId="0" borderId="0" xfId="0" applyNumberFormat="1" applyFont="1" applyBorder="1"/>
    <xf numFmtId="0" fontId="8" fillId="0" borderId="0" xfId="0" applyFont="1" applyBorder="1" applyAlignment="1">
      <alignment wrapText="1"/>
    </xf>
    <xf numFmtId="0" fontId="3" fillId="0" borderId="0" xfId="0" applyFont="1" applyBorder="1" applyAlignment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4" fontId="0" fillId="0" borderId="0" xfId="0" applyNumberFormat="1" applyFill="1" applyBorder="1" applyAlignment="1"/>
    <xf numFmtId="0" fontId="18" fillId="0" borderId="0" xfId="0" applyFont="1" applyFill="1" applyBorder="1" applyAlignment="1"/>
    <xf numFmtId="49" fontId="19" fillId="0" borderId="0" xfId="0" applyNumberFormat="1" applyFont="1" applyFill="1" applyBorder="1" applyAlignment="1"/>
    <xf numFmtId="49" fontId="20" fillId="0" borderId="2" xfId="0" applyNumberFormat="1" applyFont="1" applyBorder="1" applyAlignment="1">
      <alignment wrapText="1"/>
    </xf>
    <xf numFmtId="49" fontId="23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wrapText="1"/>
    </xf>
    <xf numFmtId="0" fontId="0" fillId="0" borderId="2" xfId="0" applyFont="1" applyBorder="1" applyAlignment="1">
      <alignment wrapText="1"/>
    </xf>
    <xf numFmtId="49" fontId="22" fillId="0" borderId="2" xfId="0" applyNumberFormat="1" applyFont="1" applyBorder="1" applyAlignment="1">
      <alignment wrapText="1"/>
    </xf>
    <xf numFmtId="0" fontId="0" fillId="0" borderId="0" xfId="0" applyAlignment="1"/>
    <xf numFmtId="14" fontId="8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0" borderId="19" xfId="0" applyBorder="1"/>
    <xf numFmtId="3" fontId="0" fillId="0" borderId="0" xfId="0" applyNumberFormat="1" applyFill="1" applyBorder="1" applyAlignment="1"/>
    <xf numFmtId="3" fontId="19" fillId="0" borderId="0" xfId="0" applyNumberFormat="1" applyFont="1" applyFill="1" applyBorder="1" applyAlignment="1"/>
    <xf numFmtId="0" fontId="0" fillId="0" borderId="0" xfId="0" applyFill="1" applyAlignment="1">
      <alignment horizontal="left"/>
    </xf>
    <xf numFmtId="3" fontId="0" fillId="0" borderId="0" xfId="0" applyNumberFormat="1" applyFill="1"/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49" fontId="0" fillId="0" borderId="2" xfId="0" applyNumberFormat="1" applyFill="1" applyBorder="1" applyAlignment="1">
      <alignment vertical="center" wrapText="1"/>
    </xf>
    <xf numFmtId="49" fontId="21" fillId="0" borderId="2" xfId="0" applyNumberFormat="1" applyFont="1" applyFill="1" applyBorder="1" applyAlignment="1">
      <alignment vertical="center"/>
    </xf>
    <xf numFmtId="49" fontId="21" fillId="0" borderId="2" xfId="0" applyNumberFormat="1" applyFont="1" applyFill="1" applyBorder="1" applyAlignment="1">
      <alignment vertical="center" wrapText="1"/>
    </xf>
    <xf numFmtId="49" fontId="22" fillId="0" borderId="2" xfId="0" applyNumberFormat="1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wrapText="1"/>
    </xf>
    <xf numFmtId="4" fontId="19" fillId="0" borderId="0" xfId="0" applyNumberFormat="1" applyFont="1" applyFill="1" applyBorder="1" applyAlignment="1"/>
    <xf numFmtId="4" fontId="8" fillId="0" borderId="0" xfId="0" applyNumberFormat="1" applyFont="1" applyBorder="1" applyAlignment="1"/>
    <xf numFmtId="4" fontId="0" fillId="0" borderId="1" xfId="0" applyNumberFormat="1" applyBorder="1"/>
    <xf numFmtId="4" fontId="0" fillId="0" borderId="3" xfId="0" applyNumberFormat="1" applyBorder="1"/>
    <xf numFmtId="4" fontId="0" fillId="0" borderId="19" xfId="0" applyNumberFormat="1" applyBorder="1"/>
    <xf numFmtId="16" fontId="9" fillId="0" borderId="0" xfId="0" applyNumberFormat="1" applyFont="1" applyFill="1" applyAlignment="1">
      <alignment horizontal="center"/>
    </xf>
    <xf numFmtId="0" fontId="0" fillId="0" borderId="19" xfId="0" applyFill="1" applyBorder="1"/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19" fillId="0" borderId="0" xfId="0" applyNumberFormat="1" applyFont="1" applyFill="1" applyBorder="1" applyAlignment="1">
      <alignment horizontal="left"/>
    </xf>
    <xf numFmtId="4" fontId="0" fillId="4" borderId="0" xfId="0" applyNumberFormat="1" applyFill="1"/>
    <xf numFmtId="4" fontId="9" fillId="0" borderId="2" xfId="0" applyNumberFormat="1" applyFont="1" applyFill="1" applyBorder="1" applyAlignment="1">
      <alignment horizontal="left"/>
    </xf>
    <xf numFmtId="4" fontId="10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right" vertical="center"/>
    </xf>
    <xf numFmtId="49" fontId="10" fillId="3" borderId="6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left" vertical="center" wrapText="1" shrinkToFit="1"/>
    </xf>
    <xf numFmtId="49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 shrinkToFit="1"/>
    </xf>
    <xf numFmtId="4" fontId="10" fillId="3" borderId="2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shrinkToFit="1"/>
    </xf>
    <xf numFmtId="4" fontId="10" fillId="5" borderId="13" xfId="0" applyNumberFormat="1" applyFont="1" applyFill="1" applyBorder="1" applyAlignment="1">
      <alignment horizontal="right"/>
    </xf>
    <xf numFmtId="4" fontId="10" fillId="3" borderId="25" xfId="0" applyNumberFormat="1" applyFont="1" applyFill="1" applyBorder="1" applyAlignment="1">
      <alignment horizontal="right" vertical="center"/>
    </xf>
    <xf numFmtId="4" fontId="9" fillId="0" borderId="0" xfId="0" applyNumberFormat="1" applyFont="1" applyFill="1"/>
    <xf numFmtId="0" fontId="8" fillId="0" borderId="0" xfId="0" applyFont="1" applyFill="1" applyAlignment="1">
      <alignment vertical="center"/>
    </xf>
    <xf numFmtId="14" fontId="9" fillId="2" borderId="3" xfId="0" applyNumberFormat="1" applyFont="1" applyFill="1" applyBorder="1" applyAlignment="1">
      <alignment horizontal="left"/>
    </xf>
    <xf numFmtId="3" fontId="0" fillId="0" borderId="19" xfId="0" applyNumberFormat="1" applyFill="1" applyBorder="1"/>
    <xf numFmtId="49" fontId="25" fillId="0" borderId="2" xfId="0" applyNumberFormat="1" applyFont="1" applyFill="1" applyBorder="1" applyAlignment="1">
      <alignment horizontal="center"/>
    </xf>
    <xf numFmtId="0" fontId="25" fillId="0" borderId="2" xfId="0" applyFont="1" applyFill="1" applyBorder="1" applyAlignment="1">
      <alignment horizontal="left" wrapText="1" shrinkToFit="1"/>
    </xf>
    <xf numFmtId="0" fontId="9" fillId="0" borderId="3" xfId="0" applyFont="1" applyFill="1" applyBorder="1" applyAlignment="1">
      <alignment horizontal="left" shrinkToFit="1"/>
    </xf>
    <xf numFmtId="0" fontId="9" fillId="0" borderId="3" xfId="0" applyFont="1" applyFill="1" applyBorder="1" applyAlignment="1">
      <alignment horizontal="right" shrinkToFit="1"/>
    </xf>
    <xf numFmtId="4" fontId="9" fillId="4" borderId="7" xfId="0" applyNumberFormat="1" applyFont="1" applyFill="1" applyBorder="1" applyAlignment="1">
      <alignment horizontal="center"/>
    </xf>
    <xf numFmtId="4" fontId="10" fillId="3" borderId="10" xfId="0" applyNumberFormat="1" applyFont="1" applyFill="1" applyBorder="1" applyAlignment="1">
      <alignment horizontal="center" vertical="center" shrinkToFit="1"/>
    </xf>
    <xf numFmtId="4" fontId="9" fillId="0" borderId="2" xfId="0" applyNumberFormat="1" applyFont="1" applyFill="1" applyBorder="1" applyAlignment="1">
      <alignment horizontal="center" wrapText="1" shrinkToFit="1"/>
    </xf>
    <xf numFmtId="4" fontId="10" fillId="3" borderId="24" xfId="0" applyNumberFormat="1" applyFont="1" applyFill="1" applyBorder="1" applyAlignment="1">
      <alignment horizontal="center" vertical="center" shrinkToFit="1"/>
    </xf>
    <xf numFmtId="4" fontId="0" fillId="0" borderId="2" xfId="0" applyNumberFormat="1" applyFill="1" applyBorder="1" applyAlignment="1">
      <alignment horizontal="center" wrapText="1"/>
    </xf>
    <xf numFmtId="4" fontId="9" fillId="2" borderId="2" xfId="0" applyNumberFormat="1" applyFont="1" applyFill="1" applyBorder="1" applyAlignment="1">
      <alignment horizontal="right"/>
    </xf>
    <xf numFmtId="0" fontId="9" fillId="2" borderId="0" xfId="0" applyFont="1" applyFill="1"/>
    <xf numFmtId="4" fontId="9" fillId="0" borderId="2" xfId="0" applyNumberFormat="1" applyFont="1" applyFill="1" applyBorder="1"/>
    <xf numFmtId="4" fontId="10" fillId="3" borderId="2" xfId="0" applyNumberFormat="1" applyFont="1" applyFill="1" applyBorder="1"/>
    <xf numFmtId="0" fontId="0" fillId="0" borderId="4" xfId="0" applyBorder="1" applyAlignment="1">
      <alignment vertical="center" wrapText="1"/>
    </xf>
    <xf numFmtId="0" fontId="8" fillId="3" borderId="4" xfId="0" applyFont="1" applyFill="1" applyBorder="1" applyAlignment="1">
      <alignment vertical="center"/>
    </xf>
    <xf numFmtId="4" fontId="10" fillId="0" borderId="0" xfId="0" applyNumberFormat="1" applyFont="1" applyFill="1"/>
    <xf numFmtId="4" fontId="9" fillId="0" borderId="0" xfId="0" applyNumberFormat="1" applyFont="1" applyFill="1" applyBorder="1" applyAlignment="1"/>
    <xf numFmtId="0" fontId="26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wrapText="1"/>
    </xf>
    <xf numFmtId="14" fontId="27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vertical="top" wrapText="1"/>
    </xf>
    <xf numFmtId="4" fontId="26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 wrapText="1"/>
    </xf>
    <xf numFmtId="0" fontId="27" fillId="0" borderId="0" xfId="0" applyFont="1" applyFill="1" applyBorder="1" applyAlignment="1">
      <alignment vertical="top" wrapText="1"/>
    </xf>
    <xf numFmtId="4" fontId="27" fillId="0" borderId="0" xfId="0" applyNumberFormat="1" applyFont="1" applyFill="1" applyBorder="1" applyAlignment="1">
      <alignment horizontal="center" wrapText="1"/>
    </xf>
    <xf numFmtId="4" fontId="10" fillId="6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9" fillId="7" borderId="2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/>
    <xf numFmtId="0" fontId="19" fillId="0" borderId="0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3" fontId="0" fillId="0" borderId="2" xfId="0" applyNumberFormat="1" applyBorder="1"/>
    <xf numFmtId="3" fontId="0" fillId="0" borderId="0" xfId="0" applyNumberFormat="1"/>
    <xf numFmtId="0" fontId="18" fillId="0" borderId="0" xfId="0" applyFont="1"/>
    <xf numFmtId="4" fontId="11" fillId="9" borderId="2" xfId="0" applyNumberFormat="1" applyFont="1" applyFill="1" applyBorder="1" applyAlignment="1">
      <alignment horizontal="right"/>
    </xf>
    <xf numFmtId="0" fontId="28" fillId="0" borderId="2" xfId="0" applyFont="1" applyFill="1" applyBorder="1" applyAlignment="1">
      <alignment horizontal="left" wrapText="1" shrinkToFit="1"/>
    </xf>
    <xf numFmtId="49" fontId="9" fillId="2" borderId="0" xfId="0" applyNumberFormat="1" applyFont="1" applyFill="1" applyAlignment="1">
      <alignment horizontal="center"/>
    </xf>
    <xf numFmtId="4" fontId="11" fillId="5" borderId="2" xfId="0" applyNumberFormat="1" applyFont="1" applyFill="1" applyBorder="1" applyAlignment="1">
      <alignment horizontal="right"/>
    </xf>
    <xf numFmtId="4" fontId="9" fillId="5" borderId="0" xfId="0" applyNumberFormat="1" applyFont="1" applyFill="1"/>
    <xf numFmtId="4" fontId="9" fillId="10" borderId="2" xfId="0" applyNumberFormat="1" applyFont="1" applyFill="1" applyBorder="1" applyAlignment="1">
      <alignment horizontal="right"/>
    </xf>
    <xf numFmtId="4" fontId="9" fillId="1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left"/>
    </xf>
    <xf numFmtId="4" fontId="9" fillId="0" borderId="0" xfId="0" applyNumberFormat="1" applyFont="1" applyFill="1" applyAlignment="1">
      <alignment horizontal="left"/>
    </xf>
    <xf numFmtId="49" fontId="9" fillId="5" borderId="0" xfId="0" applyNumberFormat="1" applyFont="1" applyFill="1" applyAlignment="1">
      <alignment horizontal="center"/>
    </xf>
    <xf numFmtId="4" fontId="11" fillId="11" borderId="2" xfId="0" applyNumberFormat="1" applyFont="1" applyFill="1" applyBorder="1" applyAlignment="1">
      <alignment horizontal="right"/>
    </xf>
    <xf numFmtId="49" fontId="9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 wrapText="1"/>
    </xf>
    <xf numFmtId="49" fontId="9" fillId="2" borderId="2" xfId="0" applyNumberFormat="1" applyFont="1" applyFill="1" applyBorder="1" applyAlignment="1">
      <alignment horizontal="center" shrinkToFit="1"/>
    </xf>
    <xf numFmtId="4" fontId="9" fillId="5" borderId="2" xfId="0" applyNumberFormat="1" applyFont="1" applyFill="1" applyBorder="1" applyAlignment="1">
      <alignment horizontal="right"/>
    </xf>
    <xf numFmtId="4" fontId="28" fillId="0" borderId="2" xfId="0" applyNumberFormat="1" applyFont="1" applyFill="1" applyBorder="1" applyAlignment="1">
      <alignment horizontal="right"/>
    </xf>
    <xf numFmtId="49" fontId="28" fillId="2" borderId="2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4" fontId="11" fillId="2" borderId="2" xfId="0" applyNumberFormat="1" applyFont="1" applyFill="1" applyBorder="1" applyAlignment="1">
      <alignment horizontal="right"/>
    </xf>
    <xf numFmtId="0" fontId="9" fillId="11" borderId="0" xfId="0" applyFont="1" applyFill="1" applyAlignment="1">
      <alignment horizontal="center" wrapText="1"/>
    </xf>
    <xf numFmtId="0" fontId="9" fillId="0" borderId="2" xfId="0" applyFont="1" applyFill="1" applyBorder="1" applyAlignment="1"/>
    <xf numFmtId="0" fontId="10" fillId="3" borderId="2" xfId="0" applyFont="1" applyFill="1" applyBorder="1" applyAlignment="1"/>
    <xf numFmtId="0" fontId="9" fillId="0" borderId="4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0" fontId="10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 wrapText="1"/>
    </xf>
    <xf numFmtId="4" fontId="0" fillId="10" borderId="4" xfId="0" applyNumberFormat="1" applyFill="1" applyBorder="1" applyAlignment="1">
      <alignment horizontal="center" vertical="center" wrapText="1"/>
    </xf>
    <xf numFmtId="4" fontId="0" fillId="10" borderId="3" xfId="0" applyNumberFormat="1" applyFill="1" applyBorder="1" applyAlignment="1">
      <alignment horizontal="center" vertical="center" wrapText="1"/>
    </xf>
    <xf numFmtId="4" fontId="0" fillId="2" borderId="4" xfId="0" applyNumberFormat="1" applyFill="1" applyBorder="1" applyAlignment="1">
      <alignment horizontal="center" vertical="center" wrapText="1"/>
    </xf>
    <xf numFmtId="4" fontId="0" fillId="2" borderId="3" xfId="0" applyNumberForma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shrinkToFit="1"/>
    </xf>
    <xf numFmtId="0" fontId="9" fillId="0" borderId="3" xfId="0" applyFont="1" applyFill="1" applyBorder="1" applyAlignment="1">
      <alignment horizontal="left" shrinkToFit="1"/>
    </xf>
    <xf numFmtId="0" fontId="10" fillId="0" borderId="4" xfId="0" applyFont="1" applyFill="1" applyBorder="1" applyAlignment="1">
      <alignment horizontal="center" shrinkToFit="1"/>
    </xf>
    <xf numFmtId="0" fontId="9" fillId="0" borderId="1" xfId="0" applyFont="1" applyFill="1" applyBorder="1" applyAlignment="1">
      <alignment horizontal="center" shrinkToFit="1"/>
    </xf>
    <xf numFmtId="0" fontId="9" fillId="0" borderId="3" xfId="0" applyFont="1" applyFill="1" applyBorder="1" applyAlignment="1">
      <alignment horizontal="center" shrinkToFit="1"/>
    </xf>
    <xf numFmtId="0" fontId="9" fillId="0" borderId="4" xfId="0" applyFont="1" applyFill="1" applyBorder="1" applyAlignment="1">
      <alignment horizontal="right" shrinkToFit="1"/>
    </xf>
    <xf numFmtId="0" fontId="9" fillId="0" borderId="3" xfId="0" applyFont="1" applyFill="1" applyBorder="1" applyAlignment="1">
      <alignment horizontal="right" shrinkToFit="1"/>
    </xf>
    <xf numFmtId="0" fontId="10" fillId="3" borderId="9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" borderId="23" xfId="0" applyFont="1" applyFill="1" applyBorder="1" applyAlignment="1">
      <alignment horizontal="center" vertical="center" shrinkToFit="1"/>
    </xf>
    <xf numFmtId="0" fontId="10" fillId="3" borderId="24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4" fontId="8" fillId="3" borderId="4" xfId="0" applyNumberFormat="1" applyFont="1" applyFill="1" applyBorder="1" applyAlignment="1">
      <alignment horizontal="center" vertical="center" wrapText="1"/>
    </xf>
    <xf numFmtId="4" fontId="8" fillId="3" borderId="3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left" wrapText="1"/>
    </xf>
    <xf numFmtId="0" fontId="10" fillId="3" borderId="4" xfId="0" applyFont="1" applyFill="1" applyBorder="1" applyAlignment="1">
      <alignment horizontal="left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/>
    </xf>
    <xf numFmtId="0" fontId="9" fillId="7" borderId="2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/>
    </xf>
    <xf numFmtId="3" fontId="0" fillId="0" borderId="4" xfId="0" applyNumberFormat="1" applyBorder="1" applyAlignment="1"/>
    <xf numFmtId="3" fontId="0" fillId="0" borderId="3" xfId="0" applyNumberFormat="1" applyBorder="1" applyAlignment="1"/>
    <xf numFmtId="3" fontId="8" fillId="0" borderId="4" xfId="0" applyNumberFormat="1" applyFont="1" applyBorder="1" applyAlignment="1"/>
    <xf numFmtId="3" fontId="8" fillId="0" borderId="3" xfId="0" applyNumberFormat="1" applyFont="1" applyBorder="1" applyAlignment="1"/>
    <xf numFmtId="3" fontId="0" fillId="0" borderId="4" xfId="0" applyNumberFormat="1" applyFill="1" applyBorder="1" applyAlignment="1"/>
    <xf numFmtId="3" fontId="0" fillId="0" borderId="3" xfId="0" applyNumberFormat="1" applyFill="1" applyBorder="1" applyAlignment="1"/>
    <xf numFmtId="3" fontId="1" fillId="0" borderId="4" xfId="0" applyNumberFormat="1" applyFont="1" applyBorder="1" applyAlignment="1"/>
    <xf numFmtId="3" fontId="1" fillId="0" borderId="3" xfId="0" applyNumberFormat="1" applyFont="1" applyBorder="1" applyAlignment="1"/>
    <xf numFmtId="3" fontId="8" fillId="0" borderId="4" xfId="0" applyNumberFormat="1" applyFont="1" applyFill="1" applyBorder="1" applyAlignment="1"/>
    <xf numFmtId="3" fontId="8" fillId="0" borderId="3" xfId="0" applyNumberFormat="1" applyFont="1" applyFill="1" applyBorder="1" applyAlignment="1"/>
    <xf numFmtId="3" fontId="3" fillId="0" borderId="4" xfId="0" applyNumberFormat="1" applyFont="1" applyFill="1" applyBorder="1" applyAlignment="1"/>
    <xf numFmtId="3" fontId="3" fillId="0" borderId="3" xfId="0" applyNumberFormat="1" applyFont="1" applyFill="1" applyBorder="1" applyAlignment="1"/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16" xfId="0" applyNumberForma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3" fontId="0" fillId="0" borderId="4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0" fontId="0" fillId="0" borderId="0" xfId="0" applyFill="1" applyAlignment="1">
      <alignment horizontal="left"/>
    </xf>
    <xf numFmtId="49" fontId="8" fillId="0" borderId="0" xfId="0" applyNumberFormat="1" applyFont="1" applyFill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" fontId="8" fillId="0" borderId="2" xfId="0" applyNumberFormat="1" applyFont="1" applyFill="1" applyBorder="1" applyAlignment="1">
      <alignment horizontal="center" vertical="center"/>
    </xf>
    <xf numFmtId="14" fontId="8" fillId="0" borderId="4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/>
    <xf numFmtId="0" fontId="0" fillId="0" borderId="0" xfId="0" applyAlignment="1"/>
    <xf numFmtId="0" fontId="0" fillId="0" borderId="2" xfId="0" applyBorder="1" applyAlignment="1">
      <alignment wrapText="1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0" fillId="8" borderId="4" xfId="0" applyFill="1" applyBorder="1" applyAlignment="1"/>
    <xf numFmtId="0" fontId="0" fillId="8" borderId="1" xfId="0" applyFill="1" applyBorder="1" applyAlignment="1"/>
    <xf numFmtId="0" fontId="0" fillId="8" borderId="3" xfId="0" applyFill="1" applyBorder="1" applyAlignment="1"/>
    <xf numFmtId="14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2" xfId="0" applyFont="1" applyBorder="1" applyAlignment="1">
      <alignment vertical="top"/>
    </xf>
    <xf numFmtId="0" fontId="0" fillId="0" borderId="2" xfId="0" applyBorder="1" applyAlignment="1">
      <alignment vertical="top"/>
    </xf>
    <xf numFmtId="0" fontId="18" fillId="0" borderId="0" xfId="0" applyFont="1" applyAlignment="1"/>
  </cellXfs>
  <cellStyles count="1">
    <cellStyle name="Normal" xfId="0" builtinId="0"/>
  </cellStyles>
  <dxfs count="4"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3.jpeg"/><Relationship Id="rId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4.jpeg"/><Relationship Id="rId1" Type="http://schemas.openxmlformats.org/officeDocument/2006/relationships/hyperlink" Target="http://www.google.com/imgres?imgurl=http://www.gov.me/files/1132228861.jpg&amp;imgrefurl=http://www.gov.me/rubrike/drzavni-simboli-crne-gore/93075/9622.html&amp;usg=__oaKhGpgMGV3bmHl_9LFfI7YBSEQ=&amp;h=943&amp;w=827&amp;sz=515&amp;hl=sr&amp;start=0&amp;zoom=1&amp;tbnid=wUsj4NzXX9ZgqM:&amp;tbnh=154&amp;tbnw=135&amp;ei=KUBRTZ3sJcqDswalpd3nBg&amp;prev=/images?q=grb+crne+gore&amp;um=1&amp;hl=sr&amp;sa=N&amp;rlz=1W1SKPB_en&amp;biw=1259&amp;bih=767&amp;tbs=isch:1&amp;um=1&amp;itbs=1&amp;iact=hc&amp;vpx=435&amp;vpy=62&amp;dur=1250&amp;hovh=240&amp;hovw=210&amp;tx=116&amp;ty=126&amp;oei=KUBRTZ3sJcqDswalpd3nBg&amp;esq=1&amp;page=1&amp;ndsp=28&amp;ved=1t:429,r:2,s: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1247775</xdr:colOff>
      <xdr:row>0</xdr:row>
      <xdr:rowOff>114300</xdr:rowOff>
    </xdr:from>
    <xdr:to>
      <xdr:col>4</xdr:col>
      <xdr:colOff>12700</xdr:colOff>
      <xdr:row>6</xdr:row>
      <xdr:rowOff>104775</xdr:rowOff>
    </xdr:to>
    <xdr:pic>
      <xdr:nvPicPr>
        <xdr:cNvPr id="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009900" y="114300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2390775</xdr:colOff>
      <xdr:row>0</xdr:row>
      <xdr:rowOff>9525</xdr:rowOff>
    </xdr:from>
    <xdr:to>
      <xdr:col>1</xdr:col>
      <xdr:colOff>3352800</xdr:colOff>
      <xdr:row>6</xdr:row>
      <xdr:rowOff>0</xdr:rowOff>
    </xdr:to>
    <xdr:pic>
      <xdr:nvPicPr>
        <xdr:cNvPr id="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048000" y="9525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1247775</xdr:colOff>
      <xdr:row>0</xdr:row>
      <xdr:rowOff>114300</xdr:rowOff>
    </xdr:from>
    <xdr:to>
      <xdr:col>5</xdr:col>
      <xdr:colOff>6350</xdr:colOff>
      <xdr:row>6</xdr:row>
      <xdr:rowOff>104775</xdr:rowOff>
    </xdr:to>
    <xdr:pic>
      <xdr:nvPicPr>
        <xdr:cNvPr id="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429250" y="114300"/>
          <a:ext cx="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2390775</xdr:colOff>
      <xdr:row>0</xdr:row>
      <xdr:rowOff>9525</xdr:rowOff>
    </xdr:from>
    <xdr:to>
      <xdr:col>1</xdr:col>
      <xdr:colOff>3352800</xdr:colOff>
      <xdr:row>6</xdr:row>
      <xdr:rowOff>0</xdr:rowOff>
    </xdr:to>
    <xdr:pic>
      <xdr:nvPicPr>
        <xdr:cNvPr id="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162300" y="9525"/>
          <a:ext cx="9620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4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5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1228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6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7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8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9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1228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10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0</xdr:row>
      <xdr:rowOff>0</xdr:rowOff>
    </xdr:from>
    <xdr:to>
      <xdr:col>4</xdr:col>
      <xdr:colOff>25400</xdr:colOff>
      <xdr:row>0</xdr:row>
      <xdr:rowOff>30215</xdr:rowOff>
    </xdr:to>
    <xdr:pic>
      <xdr:nvPicPr>
        <xdr:cNvPr id="11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1247775</xdr:colOff>
      <xdr:row>2</xdr:row>
      <xdr:rowOff>0</xdr:rowOff>
    </xdr:from>
    <xdr:to>
      <xdr:col>4</xdr:col>
      <xdr:colOff>25400</xdr:colOff>
      <xdr:row>2</xdr:row>
      <xdr:rowOff>30215</xdr:rowOff>
    </xdr:to>
    <xdr:pic>
      <xdr:nvPicPr>
        <xdr:cNvPr id="12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350" y="381000"/>
          <a:ext cx="25400" cy="30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809624</xdr:colOff>
      <xdr:row>0</xdr:row>
      <xdr:rowOff>95250</xdr:rowOff>
    </xdr:from>
    <xdr:to>
      <xdr:col>6</xdr:col>
      <xdr:colOff>571499</xdr:colOff>
      <xdr:row>5</xdr:row>
      <xdr:rowOff>104775</xdr:rowOff>
    </xdr:to>
    <xdr:pic>
      <xdr:nvPicPr>
        <xdr:cNvPr id="13" name="rg_hi" descr="http://t3.gstatic.com/images?q=tbn:ANd9GcSuiH93LVXrGhl-9vL9BmdgCO-hTaPw9UtAVKcQb4j4zb4V0iN68Q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38674" y="95250"/>
          <a:ext cx="1228725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tni%20pl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ajas/Desktop/Plate%202016/03-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44">
          <cell r="H44" t="str">
            <v>ispravka vrijednosti kratkoročnih potraživanja iz neposrednih poslova osiguranja usled umanjenja</v>
          </cell>
        </row>
        <row r="245">
          <cell r="H245" t="str">
            <v>promjena matematičkih rezervisanja za životna osiguranja na ime pripisivanja dobitka u skladu sa uslovima osiguranja</v>
          </cell>
        </row>
        <row r="302">
          <cell r="H302" t="str">
            <v>rezervisanja za penzije,jubilarne nagrade i otpremnine povodom penzionisanja</v>
          </cell>
        </row>
        <row r="442">
          <cell r="H442" t="str">
            <v>porez na rezultat</v>
          </cell>
        </row>
        <row r="483">
          <cell r="H483" t="str">
            <v>rezervisanja za penzije,jubilarne nagrade i otpremnine povodom penzionisanja</v>
          </cell>
        </row>
        <row r="494">
          <cell r="H494" t="str">
            <v>neto rezervisanja za učešće u dobiti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9">
          <cell r="C29">
            <v>6547.0692539999991</v>
          </cell>
        </row>
        <row r="31">
          <cell r="C31">
            <v>3853.9027290000013</v>
          </cell>
        </row>
        <row r="32">
          <cell r="C32">
            <v>3961.2577439999986</v>
          </cell>
        </row>
        <row r="33">
          <cell r="C33">
            <v>2626.2152159999996</v>
          </cell>
        </row>
        <row r="34">
          <cell r="C34">
            <v>1953.3121919999994</v>
          </cell>
        </row>
        <row r="36">
          <cell r="C36">
            <v>11253.532256999999</v>
          </cell>
        </row>
        <row r="39">
          <cell r="C39">
            <v>2315.5835040000011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42"/>
  <sheetViews>
    <sheetView workbookViewId="0">
      <selection activeCell="G252" sqref="G252:G253"/>
    </sheetView>
  </sheetViews>
  <sheetFormatPr defaultRowHeight="15.75" x14ac:dyDescent="0.25"/>
  <cols>
    <col min="1" max="1" width="20.5703125" style="20" customWidth="1"/>
    <col min="2" max="2" width="58" style="34" customWidth="1"/>
    <col min="3" max="4" width="14.5703125" style="34" customWidth="1"/>
    <col min="5" max="6" width="14.5703125" style="14" customWidth="1"/>
    <col min="7" max="7" width="16" style="14" customWidth="1"/>
    <col min="8" max="8" width="16" style="15" customWidth="1"/>
    <col min="9" max="9" width="21" style="15" customWidth="1"/>
    <col min="10" max="10" width="38.85546875" style="16" customWidth="1"/>
    <col min="11" max="11" width="23.85546875" style="16" customWidth="1"/>
    <col min="12" max="12" width="16" style="16" customWidth="1"/>
    <col min="13" max="14" width="13.140625" style="16" bestFit="1" customWidth="1"/>
    <col min="15" max="16384" width="9.140625" style="16"/>
  </cols>
  <sheetData>
    <row r="1" spans="1:11" x14ac:dyDescent="0.25">
      <c r="A1" s="196" t="s">
        <v>272</v>
      </c>
      <c r="B1" s="197"/>
      <c r="C1" s="121"/>
      <c r="D1" s="121"/>
      <c r="E1" s="104" t="s">
        <v>273</v>
      </c>
    </row>
    <row r="2" spans="1:11" x14ac:dyDescent="0.25">
      <c r="A2" s="17"/>
      <c r="B2" s="18"/>
      <c r="C2" s="18"/>
      <c r="D2" s="18"/>
      <c r="E2" s="19"/>
    </row>
    <row r="3" spans="1:11" x14ac:dyDescent="0.25">
      <c r="A3" s="198" t="s">
        <v>274</v>
      </c>
      <c r="B3" s="199"/>
      <c r="C3" s="199"/>
      <c r="D3" s="199"/>
      <c r="E3" s="200"/>
    </row>
    <row r="4" spans="1:11" x14ac:dyDescent="0.25">
      <c r="A4" s="201" t="s">
        <v>275</v>
      </c>
      <c r="B4" s="202"/>
      <c r="C4" s="122"/>
      <c r="D4" s="122"/>
      <c r="E4" s="117">
        <v>42825</v>
      </c>
    </row>
    <row r="5" spans="1:11" ht="16.5" thickBot="1" x14ac:dyDescent="0.3">
      <c r="B5" s="21"/>
      <c r="C5" s="21"/>
      <c r="D5" s="21"/>
      <c r="E5" s="19"/>
    </row>
    <row r="6" spans="1:11" ht="16.5" thickBot="1" x14ac:dyDescent="0.3">
      <c r="A6" s="22" t="s">
        <v>276</v>
      </c>
      <c r="B6" s="23" t="s">
        <v>277</v>
      </c>
      <c r="C6" s="123" t="s">
        <v>906</v>
      </c>
      <c r="D6" s="123" t="s">
        <v>907</v>
      </c>
      <c r="E6" s="24" t="s">
        <v>278</v>
      </c>
      <c r="F6" s="24" t="s">
        <v>279</v>
      </c>
      <c r="G6" s="25" t="s">
        <v>280</v>
      </c>
    </row>
    <row r="7" spans="1:11" s="29" customFormat="1" ht="16.5" thickBot="1" x14ac:dyDescent="0.3">
      <c r="A7" s="26"/>
      <c r="B7" s="21"/>
      <c r="C7" s="27">
        <f t="shared" ref="C7:D7" si="0">+C8+C95+C135+C233+C257</f>
        <v>7119993.2299999977</v>
      </c>
      <c r="D7" s="27">
        <f t="shared" si="0"/>
        <v>7120493.2299999995</v>
      </c>
      <c r="E7" s="27">
        <f>+E8+E95+E135+E233+E257</f>
        <v>3382782.54</v>
      </c>
      <c r="F7" s="27">
        <f>+F8+F95+F135+F233+F257</f>
        <v>3414138.0100000002</v>
      </c>
      <c r="G7" s="27">
        <f>+G8+G95+G135+G233+G257</f>
        <v>35803.079999998212</v>
      </c>
      <c r="H7" s="27"/>
      <c r="I7" s="27"/>
      <c r="K7" s="171"/>
    </row>
    <row r="8" spans="1:11" ht="36" customHeight="1" thickBot="1" x14ac:dyDescent="0.3">
      <c r="A8" s="203" t="s">
        <v>281</v>
      </c>
      <c r="B8" s="204"/>
      <c r="C8" s="124">
        <f>+SUM(C10:C91)</f>
        <v>6697417.1999999974</v>
      </c>
      <c r="D8" s="124">
        <f>+SUM(D10:D91)</f>
        <v>138388.87</v>
      </c>
      <c r="E8" s="124">
        <f>+SUM(E10:E91)</f>
        <v>2195120.4900000002</v>
      </c>
      <c r="F8" s="124">
        <f>+SUM(F10:F91)</f>
        <v>2106020.89</v>
      </c>
      <c r="G8" s="105">
        <f>SUM(G10:G94)</f>
        <v>6648127.9299999988</v>
      </c>
      <c r="H8" s="41"/>
      <c r="I8" s="41"/>
      <c r="K8" s="115"/>
    </row>
    <row r="9" spans="1:11" s="29" customFormat="1" x14ac:dyDescent="0.25">
      <c r="A9" s="26"/>
      <c r="B9" s="21"/>
      <c r="C9" s="21"/>
      <c r="D9" s="21"/>
      <c r="E9" s="27"/>
      <c r="F9" s="27"/>
      <c r="G9" s="27"/>
      <c r="H9" s="28"/>
      <c r="I9" s="28"/>
    </row>
    <row r="10" spans="1:11" ht="31.5" customHeight="1" x14ac:dyDescent="0.25">
      <c r="A10" s="165" t="s">
        <v>536</v>
      </c>
      <c r="B10" s="31" t="s">
        <v>345</v>
      </c>
      <c r="C10" s="154">
        <v>45000</v>
      </c>
      <c r="D10" s="154">
        <v>0</v>
      </c>
      <c r="E10" s="172">
        <v>0</v>
      </c>
      <c r="F10" s="172">
        <v>0</v>
      </c>
      <c r="G10" s="172">
        <f>+C10-D10+E10-F10</f>
        <v>45000</v>
      </c>
      <c r="H10" s="15" t="s">
        <v>313</v>
      </c>
      <c r="I10" s="41"/>
    </row>
    <row r="11" spans="1:11" ht="31.5" customHeight="1" x14ac:dyDescent="0.25">
      <c r="A11" s="165" t="s">
        <v>537</v>
      </c>
      <c r="B11" s="31" t="s">
        <v>346</v>
      </c>
      <c r="C11" s="154">
        <v>0</v>
      </c>
      <c r="D11" s="154">
        <v>45000</v>
      </c>
      <c r="E11" s="172">
        <v>0</v>
      </c>
      <c r="F11" s="172">
        <v>0</v>
      </c>
      <c r="G11" s="172">
        <f t="shared" ref="G11:G90" si="1">+C11-D11+E11-F11</f>
        <v>-45000</v>
      </c>
      <c r="H11" s="15" t="s">
        <v>314</v>
      </c>
      <c r="I11" s="41"/>
      <c r="J11" s="115"/>
    </row>
    <row r="12" spans="1:11" ht="31.5" customHeight="1" x14ac:dyDescent="0.25">
      <c r="A12" s="165" t="s">
        <v>538</v>
      </c>
      <c r="B12" s="31" t="s">
        <v>539</v>
      </c>
      <c r="C12" s="154">
        <v>47611.59</v>
      </c>
      <c r="D12" s="154">
        <v>0</v>
      </c>
      <c r="E12" s="172">
        <v>427.21</v>
      </c>
      <c r="F12" s="172">
        <v>0</v>
      </c>
      <c r="G12" s="172">
        <f t="shared" si="1"/>
        <v>48038.799999999996</v>
      </c>
      <c r="H12" s="15" t="s">
        <v>315</v>
      </c>
      <c r="I12" s="41"/>
      <c r="J12" s="115"/>
    </row>
    <row r="13" spans="1:11" ht="31.5" customHeight="1" x14ac:dyDescent="0.25">
      <c r="A13" s="165" t="s">
        <v>540</v>
      </c>
      <c r="B13" s="31" t="s">
        <v>541</v>
      </c>
      <c r="C13" s="154">
        <v>14534.13</v>
      </c>
      <c r="D13" s="154">
        <v>0</v>
      </c>
      <c r="E13" s="172">
        <v>0</v>
      </c>
      <c r="F13" s="172">
        <v>0</v>
      </c>
      <c r="G13" s="172">
        <f t="shared" si="1"/>
        <v>14534.13</v>
      </c>
      <c r="H13" s="15" t="s">
        <v>315</v>
      </c>
      <c r="I13" s="41"/>
    </row>
    <row r="14" spans="1:11" ht="31.5" customHeight="1" x14ac:dyDescent="0.25">
      <c r="A14" s="165" t="s">
        <v>542</v>
      </c>
      <c r="B14" s="31" t="s">
        <v>543</v>
      </c>
      <c r="C14" s="154">
        <v>15183.01</v>
      </c>
      <c r="D14" s="154">
        <v>0</v>
      </c>
      <c r="E14" s="172">
        <v>0</v>
      </c>
      <c r="F14" s="172">
        <v>0</v>
      </c>
      <c r="G14" s="172">
        <f t="shared" si="1"/>
        <v>15183.01</v>
      </c>
      <c r="H14" s="15" t="s">
        <v>315</v>
      </c>
      <c r="I14" s="41"/>
    </row>
    <row r="15" spans="1:11" ht="31.5" customHeight="1" x14ac:dyDescent="0.25">
      <c r="A15" s="165" t="s">
        <v>746</v>
      </c>
      <c r="B15" s="31" t="s">
        <v>747</v>
      </c>
      <c r="C15" s="154">
        <v>0</v>
      </c>
      <c r="D15" s="154">
        <v>0</v>
      </c>
      <c r="E15" s="172">
        <v>0</v>
      </c>
      <c r="F15" s="172">
        <v>0</v>
      </c>
      <c r="G15" s="172">
        <f t="shared" si="1"/>
        <v>0</v>
      </c>
      <c r="H15" s="15" t="s">
        <v>315</v>
      </c>
      <c r="I15" s="41"/>
    </row>
    <row r="16" spans="1:11" ht="31.5" customHeight="1" x14ac:dyDescent="0.25">
      <c r="A16" s="165" t="s">
        <v>886</v>
      </c>
      <c r="B16" s="31" t="s">
        <v>898</v>
      </c>
      <c r="C16" s="154">
        <v>436.6</v>
      </c>
      <c r="D16" s="154">
        <v>0</v>
      </c>
      <c r="E16" s="172">
        <v>0</v>
      </c>
      <c r="F16" s="172">
        <v>0</v>
      </c>
      <c r="G16" s="172">
        <f t="shared" si="1"/>
        <v>436.6</v>
      </c>
      <c r="H16" s="15" t="s">
        <v>315</v>
      </c>
      <c r="I16" s="41"/>
    </row>
    <row r="17" spans="1:10" ht="31.5" customHeight="1" x14ac:dyDescent="0.25">
      <c r="A17" s="165" t="s">
        <v>544</v>
      </c>
      <c r="B17" s="31" t="s">
        <v>347</v>
      </c>
      <c r="C17" s="154">
        <v>21911.759999999998</v>
      </c>
      <c r="D17" s="154">
        <v>0</v>
      </c>
      <c r="E17" s="172">
        <v>0</v>
      </c>
      <c r="F17" s="172">
        <v>0</v>
      </c>
      <c r="G17" s="172">
        <f t="shared" si="1"/>
        <v>21911.759999999998</v>
      </c>
      <c r="H17" s="15" t="s">
        <v>315</v>
      </c>
    </row>
    <row r="18" spans="1:10" ht="31.5" customHeight="1" x14ac:dyDescent="0.25">
      <c r="A18" s="165" t="s">
        <v>545</v>
      </c>
      <c r="B18" s="33" t="s">
        <v>546</v>
      </c>
      <c r="C18" s="154">
        <v>0</v>
      </c>
      <c r="D18" s="154">
        <v>42671.09</v>
      </c>
      <c r="E18" s="172">
        <v>0</v>
      </c>
      <c r="F18" s="172">
        <v>882.12</v>
      </c>
      <c r="G18" s="172">
        <f t="shared" si="1"/>
        <v>-43553.21</v>
      </c>
      <c r="H18" s="15" t="s">
        <v>316</v>
      </c>
      <c r="J18" s="115"/>
    </row>
    <row r="19" spans="1:10" ht="39" customHeight="1" x14ac:dyDescent="0.25">
      <c r="A19" s="165" t="s">
        <v>547</v>
      </c>
      <c r="B19" s="33" t="s">
        <v>548</v>
      </c>
      <c r="C19" s="154">
        <v>0</v>
      </c>
      <c r="D19" s="154">
        <v>13948.11</v>
      </c>
      <c r="E19" s="172">
        <v>0</v>
      </c>
      <c r="F19" s="172">
        <v>78.930000000000007</v>
      </c>
      <c r="G19" s="172">
        <f t="shared" si="1"/>
        <v>-14027.04</v>
      </c>
      <c r="H19" s="15" t="s">
        <v>316</v>
      </c>
    </row>
    <row r="20" spans="1:10" ht="39" customHeight="1" x14ac:dyDescent="0.25">
      <c r="A20" s="165" t="s">
        <v>549</v>
      </c>
      <c r="B20" s="33" t="s">
        <v>550</v>
      </c>
      <c r="C20" s="154">
        <v>0</v>
      </c>
      <c r="D20" s="154">
        <v>14857.91</v>
      </c>
      <c r="E20" s="172">
        <v>0</v>
      </c>
      <c r="F20" s="172">
        <v>94.21</v>
      </c>
      <c r="G20" s="172">
        <f t="shared" si="1"/>
        <v>-14952.119999999999</v>
      </c>
      <c r="H20" s="15" t="s">
        <v>316</v>
      </c>
    </row>
    <row r="21" spans="1:10" ht="39" customHeight="1" x14ac:dyDescent="0.25">
      <c r="A21" s="165" t="s">
        <v>748</v>
      </c>
      <c r="B21" s="33" t="s">
        <v>749</v>
      </c>
      <c r="C21" s="154">
        <v>0</v>
      </c>
      <c r="D21" s="154">
        <v>0</v>
      </c>
      <c r="E21" s="172">
        <v>0</v>
      </c>
      <c r="F21" s="172">
        <v>0</v>
      </c>
      <c r="G21" s="172">
        <f t="shared" si="1"/>
        <v>0</v>
      </c>
      <c r="H21" s="15" t="s">
        <v>316</v>
      </c>
    </row>
    <row r="22" spans="1:10" ht="31.5" customHeight="1" x14ac:dyDescent="0.25">
      <c r="A22" s="165" t="s">
        <v>551</v>
      </c>
      <c r="B22" s="31" t="s">
        <v>348</v>
      </c>
      <c r="C22" s="154">
        <v>0</v>
      </c>
      <c r="D22" s="154">
        <v>21911.759999999998</v>
      </c>
      <c r="E22" s="172">
        <v>0</v>
      </c>
      <c r="F22" s="172">
        <v>0</v>
      </c>
      <c r="G22" s="172">
        <f t="shared" si="1"/>
        <v>-21911.759999999998</v>
      </c>
      <c r="H22" s="15" t="s">
        <v>316</v>
      </c>
    </row>
    <row r="23" spans="1:10" ht="31.5" customHeight="1" x14ac:dyDescent="0.25">
      <c r="A23" s="165" t="s">
        <v>775</v>
      </c>
      <c r="B23" s="31" t="s">
        <v>776</v>
      </c>
      <c r="C23" s="154">
        <v>0</v>
      </c>
      <c r="D23" s="154">
        <v>0</v>
      </c>
      <c r="E23" s="172">
        <v>0</v>
      </c>
      <c r="F23" s="172">
        <v>0</v>
      </c>
      <c r="G23" s="172">
        <f t="shared" si="1"/>
        <v>0</v>
      </c>
      <c r="H23" s="15" t="s">
        <v>329</v>
      </c>
      <c r="J23" s="115"/>
    </row>
    <row r="24" spans="1:10" ht="31.5" customHeight="1" x14ac:dyDescent="0.25">
      <c r="A24" s="165" t="s">
        <v>777</v>
      </c>
      <c r="B24" s="31" t="s">
        <v>782</v>
      </c>
      <c r="C24" s="154">
        <v>250000</v>
      </c>
      <c r="D24" s="154">
        <v>0</v>
      </c>
      <c r="E24" s="172">
        <v>0</v>
      </c>
      <c r="F24" s="172">
        <v>0</v>
      </c>
      <c r="G24" s="172">
        <f t="shared" si="1"/>
        <v>250000</v>
      </c>
      <c r="H24" s="15" t="s">
        <v>329</v>
      </c>
      <c r="I24" s="41"/>
    </row>
    <row r="25" spans="1:10" ht="31.5" customHeight="1" x14ac:dyDescent="0.25">
      <c r="A25" s="165" t="s">
        <v>778</v>
      </c>
      <c r="B25" s="31" t="s">
        <v>783</v>
      </c>
      <c r="C25" s="154">
        <v>0</v>
      </c>
      <c r="D25" s="154">
        <v>0</v>
      </c>
      <c r="E25" s="172">
        <v>0</v>
      </c>
      <c r="F25" s="172">
        <v>0</v>
      </c>
      <c r="G25" s="172">
        <f t="shared" si="1"/>
        <v>0</v>
      </c>
      <c r="H25" s="15" t="s">
        <v>329</v>
      </c>
    </row>
    <row r="26" spans="1:10" ht="31.5" customHeight="1" x14ac:dyDescent="0.25">
      <c r="A26" s="165" t="s">
        <v>779</v>
      </c>
      <c r="B26" s="31" t="s">
        <v>784</v>
      </c>
      <c r="C26" s="154">
        <v>0</v>
      </c>
      <c r="D26" s="154">
        <v>0</v>
      </c>
      <c r="E26" s="172">
        <v>0</v>
      </c>
      <c r="F26" s="172">
        <v>0</v>
      </c>
      <c r="G26" s="172">
        <f t="shared" si="1"/>
        <v>0</v>
      </c>
      <c r="H26" s="15" t="s">
        <v>329</v>
      </c>
    </row>
    <row r="27" spans="1:10" ht="31.5" customHeight="1" x14ac:dyDescent="0.25">
      <c r="A27" s="165" t="s">
        <v>780</v>
      </c>
      <c r="B27" s="31" t="s">
        <v>785</v>
      </c>
      <c r="C27" s="154">
        <v>0</v>
      </c>
      <c r="D27" s="154">
        <v>0</v>
      </c>
      <c r="E27" s="172">
        <v>0</v>
      </c>
      <c r="F27" s="172">
        <v>0</v>
      </c>
      <c r="G27" s="172">
        <f t="shared" si="1"/>
        <v>0</v>
      </c>
      <c r="H27" s="15" t="s">
        <v>329</v>
      </c>
    </row>
    <row r="28" spans="1:10" ht="31.5" customHeight="1" x14ac:dyDescent="0.25">
      <c r="A28" s="165" t="s">
        <v>781</v>
      </c>
      <c r="B28" s="31" t="s">
        <v>751</v>
      </c>
      <c r="C28" s="154">
        <v>0</v>
      </c>
      <c r="D28" s="154">
        <v>0</v>
      </c>
      <c r="E28" s="172">
        <v>0</v>
      </c>
      <c r="F28" s="172">
        <v>0</v>
      </c>
      <c r="G28" s="172">
        <f t="shared" si="1"/>
        <v>0</v>
      </c>
      <c r="H28" s="15" t="s">
        <v>329</v>
      </c>
    </row>
    <row r="29" spans="1:10" ht="31.5" customHeight="1" x14ac:dyDescent="0.25">
      <c r="A29" s="165" t="s">
        <v>806</v>
      </c>
      <c r="B29" s="31" t="s">
        <v>805</v>
      </c>
      <c r="C29" s="154">
        <v>0</v>
      </c>
      <c r="D29" s="154">
        <v>0</v>
      </c>
      <c r="E29" s="172">
        <v>0</v>
      </c>
      <c r="F29" s="172">
        <v>0</v>
      </c>
      <c r="G29" s="172">
        <f t="shared" si="1"/>
        <v>0</v>
      </c>
      <c r="H29" s="15" t="s">
        <v>329</v>
      </c>
    </row>
    <row r="30" spans="1:10" ht="31.5" customHeight="1" x14ac:dyDescent="0.25">
      <c r="A30" s="165" t="s">
        <v>857</v>
      </c>
      <c r="B30" s="31" t="s">
        <v>858</v>
      </c>
      <c r="C30" s="154">
        <v>0</v>
      </c>
      <c r="D30" s="154">
        <v>0</v>
      </c>
      <c r="E30" s="172">
        <v>0</v>
      </c>
      <c r="F30" s="172">
        <v>0</v>
      </c>
      <c r="G30" s="172">
        <f t="shared" si="1"/>
        <v>0</v>
      </c>
      <c r="H30" s="15" t="s">
        <v>329</v>
      </c>
      <c r="J30" s="115"/>
    </row>
    <row r="31" spans="1:10" ht="31.5" customHeight="1" x14ac:dyDescent="0.25">
      <c r="A31" s="165" t="s">
        <v>995</v>
      </c>
      <c r="B31" s="31" t="s">
        <v>996</v>
      </c>
      <c r="C31" s="154">
        <v>0</v>
      </c>
      <c r="D31" s="154">
        <v>0</v>
      </c>
      <c r="E31" s="172">
        <v>0</v>
      </c>
      <c r="F31" s="172">
        <v>0</v>
      </c>
      <c r="G31" s="172">
        <f t="shared" si="1"/>
        <v>0</v>
      </c>
      <c r="H31" s="15" t="s">
        <v>329</v>
      </c>
      <c r="J31" s="115"/>
    </row>
    <row r="32" spans="1:10" ht="31.5" customHeight="1" x14ac:dyDescent="0.25">
      <c r="A32" s="165" t="s">
        <v>1002</v>
      </c>
      <c r="B32" s="31" t="s">
        <v>1003</v>
      </c>
      <c r="C32" s="154">
        <v>530000</v>
      </c>
      <c r="D32" s="154">
        <v>0</v>
      </c>
      <c r="E32" s="172">
        <v>0</v>
      </c>
      <c r="F32" s="172">
        <v>0</v>
      </c>
      <c r="G32" s="172">
        <f t="shared" si="1"/>
        <v>530000</v>
      </c>
      <c r="H32" s="15" t="s">
        <v>329</v>
      </c>
      <c r="J32" s="115"/>
    </row>
    <row r="33" spans="1:12" ht="31.5" customHeight="1" x14ac:dyDescent="0.25">
      <c r="A33" s="165" t="s">
        <v>1028</v>
      </c>
      <c r="B33" s="31" t="s">
        <v>1029</v>
      </c>
      <c r="C33" s="154">
        <v>250000</v>
      </c>
      <c r="D33" s="154">
        <v>0</v>
      </c>
      <c r="E33" s="172">
        <v>0</v>
      </c>
      <c r="F33" s="172">
        <v>0</v>
      </c>
      <c r="G33" s="172">
        <f t="shared" si="1"/>
        <v>250000</v>
      </c>
      <c r="H33" s="15" t="s">
        <v>329</v>
      </c>
      <c r="J33" s="115"/>
    </row>
    <row r="34" spans="1:12" ht="31.5" customHeight="1" x14ac:dyDescent="0.25">
      <c r="A34" s="165" t="s">
        <v>859</v>
      </c>
      <c r="B34" s="31" t="s">
        <v>807</v>
      </c>
      <c r="C34" s="154">
        <v>0</v>
      </c>
      <c r="D34" s="154">
        <v>0</v>
      </c>
      <c r="E34" s="172">
        <v>0</v>
      </c>
      <c r="F34" s="172">
        <v>0</v>
      </c>
      <c r="G34" s="172">
        <f t="shared" si="1"/>
        <v>0</v>
      </c>
      <c r="H34" s="15" t="s">
        <v>321</v>
      </c>
    </row>
    <row r="35" spans="1:12" ht="31.5" customHeight="1" x14ac:dyDescent="0.25">
      <c r="A35" s="165" t="s">
        <v>552</v>
      </c>
      <c r="B35" s="12" t="s">
        <v>553</v>
      </c>
      <c r="C35" s="154">
        <v>0</v>
      </c>
      <c r="D35" s="154">
        <v>0</v>
      </c>
      <c r="E35" s="172">
        <v>0</v>
      </c>
      <c r="F35" s="172">
        <v>0</v>
      </c>
      <c r="G35" s="172">
        <f t="shared" si="1"/>
        <v>0</v>
      </c>
      <c r="H35" s="15" t="s">
        <v>329</v>
      </c>
    </row>
    <row r="36" spans="1:12" ht="31.5" customHeight="1" x14ac:dyDescent="0.25">
      <c r="A36" s="165" t="s">
        <v>554</v>
      </c>
      <c r="B36" s="12" t="s">
        <v>558</v>
      </c>
      <c r="C36" s="154">
        <v>0</v>
      </c>
      <c r="D36" s="154">
        <v>0</v>
      </c>
      <c r="E36" s="172">
        <v>0</v>
      </c>
      <c r="F36" s="172">
        <v>0</v>
      </c>
      <c r="G36" s="172">
        <f t="shared" si="1"/>
        <v>0</v>
      </c>
      <c r="H36" s="15" t="s">
        <v>329</v>
      </c>
    </row>
    <row r="37" spans="1:12" ht="31.5" customHeight="1" x14ac:dyDescent="0.25">
      <c r="A37" s="165" t="s">
        <v>555</v>
      </c>
      <c r="B37" s="12" t="s">
        <v>559</v>
      </c>
      <c r="C37" s="154">
        <v>0</v>
      </c>
      <c r="D37" s="154">
        <v>0</v>
      </c>
      <c r="E37" s="172">
        <v>0</v>
      </c>
      <c r="F37" s="172">
        <v>0</v>
      </c>
      <c r="G37" s="172">
        <f t="shared" si="1"/>
        <v>0</v>
      </c>
      <c r="H37" s="15" t="s">
        <v>329</v>
      </c>
    </row>
    <row r="38" spans="1:12" ht="31.5" customHeight="1" x14ac:dyDescent="0.25">
      <c r="A38" s="165" t="s">
        <v>556</v>
      </c>
      <c r="B38" s="12" t="s">
        <v>560</v>
      </c>
      <c r="C38" s="154">
        <v>0</v>
      </c>
      <c r="D38" s="154">
        <v>0</v>
      </c>
      <c r="E38" s="172">
        <v>0</v>
      </c>
      <c r="F38" s="172">
        <v>0</v>
      </c>
      <c r="G38" s="172">
        <f t="shared" si="1"/>
        <v>0</v>
      </c>
      <c r="H38" s="15" t="s">
        <v>329</v>
      </c>
    </row>
    <row r="39" spans="1:12" ht="31.5" customHeight="1" x14ac:dyDescent="0.25">
      <c r="A39" s="165" t="s">
        <v>557</v>
      </c>
      <c r="B39" s="12" t="s">
        <v>561</v>
      </c>
      <c r="C39" s="154">
        <v>0</v>
      </c>
      <c r="D39" s="154">
        <v>0</v>
      </c>
      <c r="E39" s="172">
        <v>0</v>
      </c>
      <c r="F39" s="172">
        <v>0</v>
      </c>
      <c r="G39" s="172">
        <f t="shared" si="1"/>
        <v>0</v>
      </c>
      <c r="H39" s="15" t="s">
        <v>329</v>
      </c>
    </row>
    <row r="40" spans="1:12" ht="31.5" customHeight="1" x14ac:dyDescent="0.25">
      <c r="A40" s="165" t="s">
        <v>750</v>
      </c>
      <c r="B40" s="12" t="s">
        <v>751</v>
      </c>
      <c r="C40" s="154">
        <v>0</v>
      </c>
      <c r="D40" s="154">
        <v>0</v>
      </c>
      <c r="E40" s="172">
        <v>0</v>
      </c>
      <c r="F40" s="172">
        <v>0</v>
      </c>
      <c r="G40" s="172">
        <f t="shared" si="1"/>
        <v>0</v>
      </c>
      <c r="H40" s="15" t="s">
        <v>329</v>
      </c>
    </row>
    <row r="41" spans="1:12" ht="31.5" customHeight="1" x14ac:dyDescent="0.25">
      <c r="A41" s="165" t="s">
        <v>808</v>
      </c>
      <c r="B41" s="12" t="s">
        <v>809</v>
      </c>
      <c r="C41" s="154">
        <v>51839.4</v>
      </c>
      <c r="D41" s="154">
        <v>0</v>
      </c>
      <c r="E41" s="172">
        <v>2870.26</v>
      </c>
      <c r="F41" s="172">
        <v>5059.82</v>
      </c>
      <c r="G41" s="172">
        <f t="shared" si="1"/>
        <v>49649.840000000004</v>
      </c>
      <c r="H41" s="15" t="s">
        <v>828</v>
      </c>
      <c r="J41" s="115"/>
    </row>
    <row r="42" spans="1:12" ht="31.5" customHeight="1" x14ac:dyDescent="0.25">
      <c r="A42" s="166" t="s">
        <v>885</v>
      </c>
      <c r="B42" s="12" t="s">
        <v>884</v>
      </c>
      <c r="C42" s="154">
        <v>0</v>
      </c>
      <c r="D42" s="154">
        <v>0</v>
      </c>
      <c r="E42" s="172">
        <v>0</v>
      </c>
      <c r="F42" s="172">
        <v>0</v>
      </c>
      <c r="G42" s="172">
        <f t="shared" si="1"/>
        <v>0</v>
      </c>
      <c r="H42" s="15" t="s">
        <v>883</v>
      </c>
      <c r="J42" s="174" t="s">
        <v>1055</v>
      </c>
      <c r="K42" s="174"/>
      <c r="L42" s="130">
        <f>+G42+G43+G44+G45+G46+G81</f>
        <v>3221706.2800000003</v>
      </c>
    </row>
    <row r="43" spans="1:12" ht="31.5" customHeight="1" x14ac:dyDescent="0.25">
      <c r="A43" s="166" t="s">
        <v>988</v>
      </c>
      <c r="B43" s="12" t="s">
        <v>989</v>
      </c>
      <c r="C43" s="154">
        <v>238823.50000000006</v>
      </c>
      <c r="D43" s="154">
        <v>0</v>
      </c>
      <c r="E43" s="172">
        <v>0</v>
      </c>
      <c r="F43" s="172">
        <v>77673.88</v>
      </c>
      <c r="G43" s="172">
        <f t="shared" si="1"/>
        <v>161149.62000000005</v>
      </c>
      <c r="H43" s="15" t="s">
        <v>883</v>
      </c>
      <c r="J43" s="174" t="s">
        <v>1056</v>
      </c>
      <c r="K43" s="174"/>
      <c r="L43" s="130">
        <f>+SUM(G24:G33)+G84</f>
        <v>2230000</v>
      </c>
    </row>
    <row r="44" spans="1:12" ht="31.5" customHeight="1" x14ac:dyDescent="0.25">
      <c r="A44" s="166" t="s">
        <v>993</v>
      </c>
      <c r="B44" s="12" t="s">
        <v>994</v>
      </c>
      <c r="C44" s="154">
        <v>302280.06</v>
      </c>
      <c r="D44" s="154">
        <v>0</v>
      </c>
      <c r="E44" s="172">
        <v>0</v>
      </c>
      <c r="F44" s="172">
        <v>235.88</v>
      </c>
      <c r="G44" s="172">
        <f t="shared" si="1"/>
        <v>302044.18</v>
      </c>
      <c r="H44" s="15" t="s">
        <v>883</v>
      </c>
      <c r="J44" s="174" t="s">
        <v>1057</v>
      </c>
      <c r="K44" s="174"/>
      <c r="L44" s="130">
        <f>+G41</f>
        <v>49649.840000000004</v>
      </c>
    </row>
    <row r="45" spans="1:12" ht="31.5" customHeight="1" x14ac:dyDescent="0.25">
      <c r="A45" s="166" t="s">
        <v>1030</v>
      </c>
      <c r="B45" s="12" t="s">
        <v>1031</v>
      </c>
      <c r="C45" s="154">
        <v>1182181.49</v>
      </c>
      <c r="D45" s="154">
        <v>0</v>
      </c>
      <c r="E45" s="172">
        <v>1367.15</v>
      </c>
      <c r="F45" s="172">
        <v>0</v>
      </c>
      <c r="G45" s="172">
        <f t="shared" ref="G45:G46" si="2">+C45-D45+E45-F45</f>
        <v>1183548.6399999999</v>
      </c>
      <c r="H45" s="15" t="s">
        <v>883</v>
      </c>
      <c r="J45" s="175" t="s">
        <v>911</v>
      </c>
      <c r="K45" s="175"/>
      <c r="L45" s="131">
        <f>+L42+L43+L44</f>
        <v>5501356.1200000001</v>
      </c>
    </row>
    <row r="46" spans="1:12" ht="31.5" customHeight="1" x14ac:dyDescent="0.25">
      <c r="A46" s="166" t="s">
        <v>1052</v>
      </c>
      <c r="B46" s="12" t="s">
        <v>1053</v>
      </c>
      <c r="C46" s="154">
        <v>1449271.03</v>
      </c>
      <c r="D46" s="154">
        <v>0</v>
      </c>
      <c r="E46" s="172">
        <v>158.12</v>
      </c>
      <c r="F46" s="172">
        <v>3019.73</v>
      </c>
      <c r="G46" s="172">
        <f t="shared" si="2"/>
        <v>1446409.4200000002</v>
      </c>
      <c r="H46" s="15" t="s">
        <v>883</v>
      </c>
      <c r="J46" s="115"/>
    </row>
    <row r="47" spans="1:12" ht="31.5" customHeight="1" x14ac:dyDescent="0.25">
      <c r="A47" s="165" t="s">
        <v>1054</v>
      </c>
      <c r="B47" s="31" t="s">
        <v>562</v>
      </c>
      <c r="C47" s="154">
        <v>1799.17</v>
      </c>
      <c r="D47" s="154">
        <v>0</v>
      </c>
      <c r="E47" s="172">
        <v>0</v>
      </c>
      <c r="F47" s="172">
        <v>0</v>
      </c>
      <c r="G47" s="172">
        <f t="shared" si="1"/>
        <v>1799.17</v>
      </c>
      <c r="H47" s="15" t="s">
        <v>317</v>
      </c>
    </row>
    <row r="48" spans="1:12" ht="31.5" customHeight="1" x14ac:dyDescent="0.25">
      <c r="A48" s="165" t="s">
        <v>563</v>
      </c>
      <c r="B48" s="31" t="s">
        <v>349</v>
      </c>
      <c r="C48" s="154">
        <v>54.04</v>
      </c>
      <c r="D48" s="154">
        <v>0</v>
      </c>
      <c r="E48" s="172">
        <v>0</v>
      </c>
      <c r="F48" s="172">
        <v>53.71</v>
      </c>
      <c r="G48" s="172">
        <f t="shared" si="1"/>
        <v>0.32999999999999829</v>
      </c>
      <c r="H48" s="15" t="s">
        <v>318</v>
      </c>
      <c r="J48" s="174" t="s">
        <v>908</v>
      </c>
      <c r="K48" s="174"/>
      <c r="L48" s="130">
        <f>+SUM(G49:G63)</f>
        <v>705951.34</v>
      </c>
    </row>
    <row r="49" spans="1:12" ht="31.5" customHeight="1" x14ac:dyDescent="0.25">
      <c r="A49" s="165" t="s">
        <v>564</v>
      </c>
      <c r="B49" s="31" t="s">
        <v>350</v>
      </c>
      <c r="C49" s="154">
        <v>57245.259999999776</v>
      </c>
      <c r="D49" s="154">
        <v>0</v>
      </c>
      <c r="E49" s="172">
        <v>531916.52</v>
      </c>
      <c r="F49" s="172">
        <v>425885.76</v>
      </c>
      <c r="G49" s="172">
        <f t="shared" si="1"/>
        <v>163276.01999999979</v>
      </c>
      <c r="H49" s="15" t="s">
        <v>318</v>
      </c>
      <c r="J49" s="174" t="s">
        <v>909</v>
      </c>
      <c r="K49" s="174"/>
      <c r="L49" s="130">
        <f>+G64</f>
        <v>634.05999999996857</v>
      </c>
    </row>
    <row r="50" spans="1:12" ht="31.5" customHeight="1" x14ac:dyDescent="0.25">
      <c r="A50" s="165" t="s">
        <v>565</v>
      </c>
      <c r="B50" s="31" t="s">
        <v>351</v>
      </c>
      <c r="C50" s="154">
        <v>29278.14000000013</v>
      </c>
      <c r="D50" s="154">
        <v>0</v>
      </c>
      <c r="E50" s="172">
        <v>220449.74</v>
      </c>
      <c r="F50" s="172">
        <v>90002</v>
      </c>
      <c r="G50" s="172">
        <f t="shared" si="1"/>
        <v>159725.88000000012</v>
      </c>
      <c r="H50" s="15" t="s">
        <v>318</v>
      </c>
      <c r="J50" s="174" t="s">
        <v>910</v>
      </c>
      <c r="K50" s="174"/>
      <c r="L50" s="130">
        <f>+G48</f>
        <v>0.32999999999999829</v>
      </c>
    </row>
    <row r="51" spans="1:12" ht="31.5" customHeight="1" x14ac:dyDescent="0.25">
      <c r="A51" s="165" t="s">
        <v>566</v>
      </c>
      <c r="B51" s="31" t="s">
        <v>352</v>
      </c>
      <c r="C51" s="154">
        <v>11756.549999999988</v>
      </c>
      <c r="D51" s="154">
        <v>0</v>
      </c>
      <c r="E51" s="172">
        <v>7369.65</v>
      </c>
      <c r="F51" s="172">
        <v>13020.2</v>
      </c>
      <c r="G51" s="172">
        <f t="shared" si="1"/>
        <v>6105.9999999999891</v>
      </c>
      <c r="H51" s="15" t="s">
        <v>318</v>
      </c>
      <c r="J51" s="175" t="s">
        <v>911</v>
      </c>
      <c r="K51" s="175"/>
      <c r="L51" s="131">
        <f>+L48+L49+L50</f>
        <v>706585.72999999986</v>
      </c>
    </row>
    <row r="52" spans="1:12" ht="31.5" customHeight="1" x14ac:dyDescent="0.25">
      <c r="A52" s="165" t="s">
        <v>567</v>
      </c>
      <c r="B52" s="31" t="s">
        <v>353</v>
      </c>
      <c r="C52" s="154">
        <v>32238.729999999981</v>
      </c>
      <c r="D52" s="154">
        <v>0</v>
      </c>
      <c r="E52" s="172">
        <v>48127.7</v>
      </c>
      <c r="F52" s="172">
        <v>48068.4</v>
      </c>
      <c r="G52" s="172">
        <f t="shared" si="1"/>
        <v>32298.029999999977</v>
      </c>
      <c r="H52" s="15" t="s">
        <v>318</v>
      </c>
      <c r="L52" s="115">
        <f>+L48+L49</f>
        <v>706585.39999999991</v>
      </c>
    </row>
    <row r="53" spans="1:12" ht="31.5" customHeight="1" x14ac:dyDescent="0.25">
      <c r="A53" s="165" t="s">
        <v>568</v>
      </c>
      <c r="B53" s="31" t="s">
        <v>354</v>
      </c>
      <c r="C53" s="154">
        <v>36835.400000000023</v>
      </c>
      <c r="D53" s="154">
        <v>0</v>
      </c>
      <c r="E53" s="172">
        <v>94697.99</v>
      </c>
      <c r="F53" s="172">
        <v>50073</v>
      </c>
      <c r="G53" s="172">
        <f t="shared" si="1"/>
        <v>81460.390000000014</v>
      </c>
      <c r="H53" s="15" t="s">
        <v>318</v>
      </c>
      <c r="L53" s="115">
        <f>++L52+L45</f>
        <v>6207941.5199999996</v>
      </c>
    </row>
    <row r="54" spans="1:12" ht="31.5" customHeight="1" x14ac:dyDescent="0.25">
      <c r="A54" s="165" t="s">
        <v>569</v>
      </c>
      <c r="B54" s="31" t="s">
        <v>355</v>
      </c>
      <c r="C54" s="154">
        <v>17360.110000000015</v>
      </c>
      <c r="D54" s="154">
        <v>0</v>
      </c>
      <c r="E54" s="172">
        <v>11724.02</v>
      </c>
      <c r="F54" s="172">
        <v>20039</v>
      </c>
      <c r="G54" s="172">
        <f t="shared" si="1"/>
        <v>9045.1300000000156</v>
      </c>
      <c r="H54" s="15" t="s">
        <v>318</v>
      </c>
      <c r="K54" s="115"/>
    </row>
    <row r="55" spans="1:12" ht="31.5" customHeight="1" x14ac:dyDescent="0.25">
      <c r="A55" s="165" t="s">
        <v>786</v>
      </c>
      <c r="B55" s="31" t="s">
        <v>787</v>
      </c>
      <c r="C55" s="154">
        <v>12755.560000000003</v>
      </c>
      <c r="D55" s="154">
        <v>0</v>
      </c>
      <c r="E55" s="172">
        <v>4494.88</v>
      </c>
      <c r="F55" s="172">
        <v>13026</v>
      </c>
      <c r="G55" s="172">
        <f t="shared" si="1"/>
        <v>4224.4400000000023</v>
      </c>
      <c r="H55" s="15" t="s">
        <v>318</v>
      </c>
      <c r="K55" s="115"/>
    </row>
    <row r="56" spans="1:12" ht="31.5" customHeight="1" x14ac:dyDescent="0.25">
      <c r="A56" s="165" t="s">
        <v>810</v>
      </c>
      <c r="B56" s="31" t="s">
        <v>812</v>
      </c>
      <c r="C56" s="154">
        <v>80448.219999999972</v>
      </c>
      <c r="D56" s="154">
        <v>0</v>
      </c>
      <c r="E56" s="172">
        <v>111961.58</v>
      </c>
      <c r="F56" s="172">
        <v>115087.5</v>
      </c>
      <c r="G56" s="172">
        <f t="shared" si="1"/>
        <v>77322.299999999988</v>
      </c>
      <c r="H56" s="15" t="s">
        <v>318</v>
      </c>
      <c r="K56" s="115"/>
    </row>
    <row r="57" spans="1:12" ht="31.5" customHeight="1" x14ac:dyDescent="0.25">
      <c r="A57" s="165" t="s">
        <v>811</v>
      </c>
      <c r="B57" s="31" t="s">
        <v>813</v>
      </c>
      <c r="C57" s="154">
        <v>25839.720000000008</v>
      </c>
      <c r="D57" s="154">
        <v>0</v>
      </c>
      <c r="E57" s="172">
        <v>14936.95</v>
      </c>
      <c r="F57" s="172">
        <v>30046.5</v>
      </c>
      <c r="G57" s="172">
        <f t="shared" si="1"/>
        <v>10730.170000000013</v>
      </c>
      <c r="H57" s="15" t="s">
        <v>318</v>
      </c>
      <c r="K57" s="115"/>
    </row>
    <row r="58" spans="1:12" ht="31.5" customHeight="1" x14ac:dyDescent="0.25">
      <c r="A58" s="165" t="s">
        <v>860</v>
      </c>
      <c r="B58" s="31" t="s">
        <v>862</v>
      </c>
      <c r="C58" s="154">
        <v>25032.419999999984</v>
      </c>
      <c r="D58" s="154">
        <v>0</v>
      </c>
      <c r="E58" s="172">
        <v>14771.72</v>
      </c>
      <c r="F58" s="172">
        <v>28054.400000000001</v>
      </c>
      <c r="G58" s="172">
        <f t="shared" si="1"/>
        <v>11749.739999999983</v>
      </c>
      <c r="H58" s="15" t="s">
        <v>318</v>
      </c>
      <c r="K58" s="115"/>
    </row>
    <row r="59" spans="1:12" ht="31.5" customHeight="1" x14ac:dyDescent="0.25">
      <c r="A59" s="165" t="s">
        <v>861</v>
      </c>
      <c r="B59" s="31" t="s">
        <v>863</v>
      </c>
      <c r="C59" s="154">
        <v>4638.1699999999983</v>
      </c>
      <c r="D59" s="154">
        <v>0</v>
      </c>
      <c r="E59" s="172">
        <v>3145.38</v>
      </c>
      <c r="F59" s="172">
        <v>5526.9</v>
      </c>
      <c r="G59" s="172">
        <f t="shared" si="1"/>
        <v>2256.6499999999987</v>
      </c>
      <c r="H59" s="15" t="s">
        <v>318</v>
      </c>
      <c r="K59" s="115"/>
    </row>
    <row r="60" spans="1:12" ht="31.5" customHeight="1" x14ac:dyDescent="0.25">
      <c r="A60" s="165" t="s">
        <v>997</v>
      </c>
      <c r="B60" s="31" t="s">
        <v>987</v>
      </c>
      <c r="C60" s="154">
        <v>500.13</v>
      </c>
      <c r="D60" s="154">
        <v>0</v>
      </c>
      <c r="E60" s="172">
        <v>0</v>
      </c>
      <c r="F60" s="172">
        <v>0</v>
      </c>
      <c r="G60" s="172">
        <f t="shared" si="1"/>
        <v>500.13</v>
      </c>
      <c r="H60" s="15" t="s">
        <v>318</v>
      </c>
      <c r="K60" s="115"/>
    </row>
    <row r="61" spans="1:12" ht="31.5" customHeight="1" x14ac:dyDescent="0.25">
      <c r="A61" s="165" t="s">
        <v>998</v>
      </c>
      <c r="B61" s="31" t="s">
        <v>1043</v>
      </c>
      <c r="C61" s="154">
        <v>10939.989999999998</v>
      </c>
      <c r="D61" s="154">
        <v>0</v>
      </c>
      <c r="E61" s="172">
        <v>145690.35999999999</v>
      </c>
      <c r="F61" s="172">
        <v>12533</v>
      </c>
      <c r="G61" s="172">
        <f t="shared" si="1"/>
        <v>144097.34999999998</v>
      </c>
      <c r="H61" s="15" t="s">
        <v>318</v>
      </c>
      <c r="K61" s="115"/>
    </row>
    <row r="62" spans="1:12" ht="31.5" customHeight="1" x14ac:dyDescent="0.25">
      <c r="A62" s="165" t="s">
        <v>1004</v>
      </c>
      <c r="B62" s="31" t="s">
        <v>1044</v>
      </c>
      <c r="C62" s="154">
        <v>9285.1299999999992</v>
      </c>
      <c r="D62" s="154">
        <v>0</v>
      </c>
      <c r="E62" s="172">
        <v>1145.21</v>
      </c>
      <c r="F62" s="172">
        <v>9528</v>
      </c>
      <c r="G62" s="172">
        <f t="shared" si="1"/>
        <v>902.34000000000015</v>
      </c>
      <c r="H62" s="15" t="s">
        <v>318</v>
      </c>
      <c r="K62" s="115"/>
    </row>
    <row r="63" spans="1:12" ht="31.5" customHeight="1" x14ac:dyDescent="0.25">
      <c r="A63" s="165" t="s">
        <v>1032</v>
      </c>
      <c r="B63" s="31" t="s">
        <v>1045</v>
      </c>
      <c r="C63" s="154">
        <v>5447.0899999999947</v>
      </c>
      <c r="D63" s="154">
        <v>0</v>
      </c>
      <c r="E63" s="172">
        <v>3315.68</v>
      </c>
      <c r="F63" s="172">
        <v>6506</v>
      </c>
      <c r="G63" s="172">
        <f t="shared" si="1"/>
        <v>2256.769999999995</v>
      </c>
      <c r="H63" s="15" t="s">
        <v>318</v>
      </c>
      <c r="K63" s="115"/>
    </row>
    <row r="64" spans="1:12" ht="31.5" customHeight="1" x14ac:dyDescent="0.25">
      <c r="A64" s="165" t="s">
        <v>570</v>
      </c>
      <c r="B64" s="31" t="s">
        <v>356</v>
      </c>
      <c r="C64" s="154">
        <v>12684.589999999967</v>
      </c>
      <c r="D64" s="154">
        <v>0</v>
      </c>
      <c r="E64" s="172">
        <v>25000</v>
      </c>
      <c r="F64" s="172">
        <v>37050.53</v>
      </c>
      <c r="G64" s="172">
        <f t="shared" si="1"/>
        <v>634.05999999996857</v>
      </c>
      <c r="H64" s="15" t="s">
        <v>318</v>
      </c>
      <c r="J64" s="115"/>
    </row>
    <row r="65" spans="1:10" ht="31.5" customHeight="1" x14ac:dyDescent="0.25">
      <c r="A65" s="165" t="s">
        <v>571</v>
      </c>
      <c r="B65" s="31" t="s">
        <v>899</v>
      </c>
      <c r="C65" s="154">
        <v>0</v>
      </c>
      <c r="D65" s="154">
        <v>0</v>
      </c>
      <c r="E65" s="172">
        <v>0</v>
      </c>
      <c r="F65" s="172">
        <v>0</v>
      </c>
      <c r="G65" s="172">
        <f t="shared" si="1"/>
        <v>0</v>
      </c>
      <c r="H65" s="15" t="s">
        <v>318</v>
      </c>
    </row>
    <row r="66" spans="1:10" ht="31.5" customHeight="1" x14ac:dyDescent="0.25">
      <c r="A66" s="165" t="s">
        <v>572</v>
      </c>
      <c r="B66" s="31" t="s">
        <v>309</v>
      </c>
      <c r="C66" s="154">
        <v>0</v>
      </c>
      <c r="D66" s="154">
        <v>0</v>
      </c>
      <c r="E66" s="172">
        <v>446000</v>
      </c>
      <c r="F66" s="172">
        <v>446000</v>
      </c>
      <c r="G66" s="172">
        <f t="shared" si="1"/>
        <v>0</v>
      </c>
      <c r="H66" s="15" t="s">
        <v>318</v>
      </c>
    </row>
    <row r="67" spans="1:10" ht="31.5" customHeight="1" x14ac:dyDescent="0.25">
      <c r="A67" s="165" t="s">
        <v>1037</v>
      </c>
      <c r="B67" s="31" t="s">
        <v>1038</v>
      </c>
      <c r="C67" s="154">
        <v>0</v>
      </c>
      <c r="D67" s="154">
        <v>0</v>
      </c>
      <c r="E67" s="172">
        <v>0</v>
      </c>
      <c r="F67" s="172">
        <v>0</v>
      </c>
      <c r="G67" s="172">
        <f t="shared" si="1"/>
        <v>0</v>
      </c>
      <c r="H67" s="15" t="s">
        <v>318</v>
      </c>
    </row>
    <row r="68" spans="1:10" ht="31.5" customHeight="1" x14ac:dyDescent="0.25">
      <c r="A68" s="165" t="s">
        <v>573</v>
      </c>
      <c r="B68" s="31" t="s">
        <v>574</v>
      </c>
      <c r="C68" s="154">
        <v>69917.510000000009</v>
      </c>
      <c r="D68" s="154">
        <v>0</v>
      </c>
      <c r="E68" s="32">
        <v>428825</v>
      </c>
      <c r="F68" s="32">
        <v>454346.9</v>
      </c>
      <c r="G68" s="32">
        <f t="shared" si="1"/>
        <v>44395.609999999986</v>
      </c>
      <c r="H68" s="15" t="s">
        <v>319</v>
      </c>
    </row>
    <row r="69" spans="1:10" ht="31.5" customHeight="1" x14ac:dyDescent="0.25">
      <c r="A69" s="165" t="s">
        <v>887</v>
      </c>
      <c r="B69" s="31" t="s">
        <v>888</v>
      </c>
      <c r="C69" s="154">
        <v>911.45</v>
      </c>
      <c r="D69" s="154">
        <v>0</v>
      </c>
      <c r="E69" s="32">
        <v>245.73</v>
      </c>
      <c r="F69" s="32">
        <v>351.69</v>
      </c>
      <c r="G69" s="32">
        <f t="shared" si="1"/>
        <v>805.49</v>
      </c>
      <c r="H69" s="15" t="s">
        <v>319</v>
      </c>
      <c r="J69" s="115"/>
    </row>
    <row r="70" spans="1:10" ht="31.5" customHeight="1" x14ac:dyDescent="0.25">
      <c r="A70" s="165" t="s">
        <v>575</v>
      </c>
      <c r="B70" s="31" t="str">
        <f>[1]Sheet1!$H$44</f>
        <v>ispravka vrijednosti kratkoročnih potraživanja iz neposrednih poslova osiguranja usled umanjenja</v>
      </c>
      <c r="C70" s="154">
        <v>0</v>
      </c>
      <c r="D70" s="154">
        <v>0</v>
      </c>
      <c r="E70" s="32">
        <v>0</v>
      </c>
      <c r="F70" s="32">
        <v>0</v>
      </c>
      <c r="G70" s="32">
        <f t="shared" si="1"/>
        <v>0</v>
      </c>
      <c r="H70" s="15" t="s">
        <v>319</v>
      </c>
      <c r="J70" s="115"/>
    </row>
    <row r="71" spans="1:10" ht="31.5" customHeight="1" x14ac:dyDescent="0.25">
      <c r="A71" s="165" t="s">
        <v>752</v>
      </c>
      <c r="B71" s="31" t="s">
        <v>753</v>
      </c>
      <c r="C71" s="154">
        <v>49993.919999999998</v>
      </c>
      <c r="D71" s="154">
        <v>0</v>
      </c>
      <c r="E71" s="32">
        <v>0</v>
      </c>
      <c r="F71" s="32">
        <v>0</v>
      </c>
      <c r="G71" s="32">
        <f t="shared" si="1"/>
        <v>49993.919999999998</v>
      </c>
      <c r="H71" s="15" t="s">
        <v>774</v>
      </c>
    </row>
    <row r="72" spans="1:10" ht="31.5" customHeight="1" x14ac:dyDescent="0.25">
      <c r="A72" s="165" t="s">
        <v>576</v>
      </c>
      <c r="B72" s="31" t="s">
        <v>307</v>
      </c>
      <c r="C72" s="154">
        <v>127448.71</v>
      </c>
      <c r="D72" s="154">
        <v>0</v>
      </c>
      <c r="E72" s="32">
        <v>29079.48</v>
      </c>
      <c r="F72" s="32">
        <v>18120.07</v>
      </c>
      <c r="G72" s="32">
        <f t="shared" si="1"/>
        <v>138408.12</v>
      </c>
      <c r="H72" s="15" t="s">
        <v>320</v>
      </c>
    </row>
    <row r="73" spans="1:10" ht="31.5" customHeight="1" x14ac:dyDescent="0.25">
      <c r="A73" s="165" t="s">
        <v>999</v>
      </c>
      <c r="B73" s="31" t="s">
        <v>1000</v>
      </c>
      <c r="C73" s="154">
        <v>115009.93</v>
      </c>
      <c r="D73" s="154">
        <v>0</v>
      </c>
      <c r="E73" s="32">
        <v>37959.14</v>
      </c>
      <c r="F73" s="32">
        <v>52397.760000000002</v>
      </c>
      <c r="G73" s="32">
        <f t="shared" si="1"/>
        <v>100571.31</v>
      </c>
      <c r="H73" s="15" t="s">
        <v>320</v>
      </c>
    </row>
    <row r="74" spans="1:10" ht="31.5" customHeight="1" x14ac:dyDescent="0.25">
      <c r="A74" s="165" t="s">
        <v>990</v>
      </c>
      <c r="B74" s="31" t="s">
        <v>1001</v>
      </c>
      <c r="C74" s="154">
        <v>2504.77</v>
      </c>
      <c r="D74" s="154">
        <v>0</v>
      </c>
      <c r="E74" s="32">
        <v>0</v>
      </c>
      <c r="F74" s="32">
        <v>0</v>
      </c>
      <c r="G74" s="32">
        <f t="shared" si="1"/>
        <v>2504.77</v>
      </c>
      <c r="H74" s="15" t="s">
        <v>321</v>
      </c>
    </row>
    <row r="75" spans="1:10" ht="31.5" customHeight="1" x14ac:dyDescent="0.25">
      <c r="A75" s="165" t="s">
        <v>577</v>
      </c>
      <c r="B75" s="11" t="s">
        <v>416</v>
      </c>
      <c r="C75" s="154">
        <v>0</v>
      </c>
      <c r="D75" s="154">
        <v>0</v>
      </c>
      <c r="E75" s="32">
        <v>6892.43</v>
      </c>
      <c r="F75" s="32">
        <v>2259.35</v>
      </c>
      <c r="G75" s="32">
        <f t="shared" si="1"/>
        <v>4633.08</v>
      </c>
      <c r="H75" s="15" t="s">
        <v>321</v>
      </c>
    </row>
    <row r="76" spans="1:10" ht="31.5" customHeight="1" x14ac:dyDescent="0.25">
      <c r="A76" s="165" t="s">
        <v>578</v>
      </c>
      <c r="B76" s="31" t="s">
        <v>308</v>
      </c>
      <c r="C76" s="154">
        <v>5502.4200000000019</v>
      </c>
      <c r="D76" s="154">
        <v>0</v>
      </c>
      <c r="E76" s="32">
        <v>510.34</v>
      </c>
      <c r="F76" s="32">
        <v>514.72</v>
      </c>
      <c r="G76" s="32">
        <f t="shared" si="1"/>
        <v>5498.0400000000018</v>
      </c>
      <c r="H76" s="15" t="s">
        <v>321</v>
      </c>
    </row>
    <row r="77" spans="1:10" ht="31.5" customHeight="1" x14ac:dyDescent="0.25">
      <c r="A77" s="165" t="s">
        <v>579</v>
      </c>
      <c r="B77" s="31" t="s">
        <v>283</v>
      </c>
      <c r="C77" s="154">
        <v>0</v>
      </c>
      <c r="D77" s="154">
        <v>0</v>
      </c>
      <c r="E77" s="32">
        <v>0</v>
      </c>
      <c r="F77" s="32">
        <v>0</v>
      </c>
      <c r="G77" s="32">
        <f t="shared" si="1"/>
        <v>0</v>
      </c>
      <c r="H77" s="15" t="s">
        <v>321</v>
      </c>
    </row>
    <row r="78" spans="1:10" ht="31.5" customHeight="1" x14ac:dyDescent="0.25">
      <c r="A78" s="165" t="s">
        <v>580</v>
      </c>
      <c r="B78" s="31" t="s">
        <v>282</v>
      </c>
      <c r="C78" s="154">
        <v>0</v>
      </c>
      <c r="D78" s="154">
        <v>0</v>
      </c>
      <c r="E78" s="32">
        <v>0</v>
      </c>
      <c r="F78" s="32">
        <v>0</v>
      </c>
      <c r="G78" s="32">
        <f t="shared" si="1"/>
        <v>0</v>
      </c>
      <c r="H78" s="15" t="s">
        <v>321</v>
      </c>
      <c r="J78" s="115"/>
    </row>
    <row r="79" spans="1:10" ht="31.5" customHeight="1" x14ac:dyDescent="0.25">
      <c r="A79" s="165" t="s">
        <v>1018</v>
      </c>
      <c r="B79" s="31" t="s">
        <v>1019</v>
      </c>
      <c r="C79" s="154">
        <v>81109.159999999974</v>
      </c>
      <c r="D79" s="154">
        <v>0</v>
      </c>
      <c r="E79" s="32">
        <v>0</v>
      </c>
      <c r="F79" s="32">
        <v>0</v>
      </c>
      <c r="G79" s="32">
        <f t="shared" si="1"/>
        <v>81109.159999999974</v>
      </c>
      <c r="H79" s="15" t="s">
        <v>321</v>
      </c>
      <c r="J79" s="115"/>
    </row>
    <row r="80" spans="1:10" ht="31.5" customHeight="1" x14ac:dyDescent="0.25">
      <c r="A80" s="165" t="s">
        <v>788</v>
      </c>
      <c r="B80" s="31" t="s">
        <v>790</v>
      </c>
      <c r="C80" s="154">
        <v>0</v>
      </c>
      <c r="D80" s="154">
        <v>0</v>
      </c>
      <c r="E80" s="32">
        <v>0</v>
      </c>
      <c r="F80" s="32">
        <v>0</v>
      </c>
      <c r="G80" s="32">
        <f t="shared" si="1"/>
        <v>0</v>
      </c>
      <c r="H80" s="15" t="s">
        <v>322</v>
      </c>
      <c r="J80" s="115"/>
    </row>
    <row r="81" spans="1:10" ht="31.5" customHeight="1" x14ac:dyDescent="0.25">
      <c r="A81" s="165" t="s">
        <v>1047</v>
      </c>
      <c r="B81" s="31" t="s">
        <v>1048</v>
      </c>
      <c r="C81" s="154">
        <v>126516.16999999998</v>
      </c>
      <c r="D81" s="154">
        <v>0</v>
      </c>
      <c r="E81" s="32">
        <v>2038.25</v>
      </c>
      <c r="F81" s="32">
        <v>0</v>
      </c>
      <c r="G81" s="32">
        <f t="shared" si="1"/>
        <v>128554.41999999998</v>
      </c>
      <c r="H81" s="15" t="s">
        <v>336</v>
      </c>
      <c r="I81" s="41">
        <f>+G42+G43+G44+G45+G46+G81</f>
        <v>3221706.2800000003</v>
      </c>
      <c r="J81" s="115"/>
    </row>
    <row r="82" spans="1:10" ht="31.5" customHeight="1" x14ac:dyDescent="0.25">
      <c r="A82" s="165" t="s">
        <v>789</v>
      </c>
      <c r="B82" s="31" t="s">
        <v>791</v>
      </c>
      <c r="C82" s="154">
        <v>0</v>
      </c>
      <c r="D82" s="154">
        <v>0</v>
      </c>
      <c r="E82" s="32">
        <v>0</v>
      </c>
      <c r="F82" s="32">
        <v>0</v>
      </c>
      <c r="G82" s="32">
        <f t="shared" si="1"/>
        <v>0</v>
      </c>
      <c r="H82" s="15" t="s">
        <v>322</v>
      </c>
      <c r="I82" s="41"/>
    </row>
    <row r="83" spans="1:10" ht="31.5" customHeight="1" x14ac:dyDescent="0.25">
      <c r="A83" s="165" t="s">
        <v>581</v>
      </c>
      <c r="B83" s="31" t="s">
        <v>357</v>
      </c>
      <c r="C83" s="154">
        <v>0</v>
      </c>
      <c r="D83" s="154">
        <v>0</v>
      </c>
      <c r="E83" s="32">
        <v>0</v>
      </c>
      <c r="F83" s="32">
        <v>0</v>
      </c>
      <c r="G83" s="32">
        <f t="shared" si="1"/>
        <v>0</v>
      </c>
      <c r="H83" s="15" t="s">
        <v>322</v>
      </c>
      <c r="J83" s="115"/>
    </row>
    <row r="84" spans="1:10" ht="31.5" customHeight="1" x14ac:dyDescent="0.25">
      <c r="A84" s="165" t="s">
        <v>1005</v>
      </c>
      <c r="B84" s="31" t="s">
        <v>1070</v>
      </c>
      <c r="C84" s="154">
        <v>1340000</v>
      </c>
      <c r="D84" s="154">
        <v>0</v>
      </c>
      <c r="E84" s="32">
        <v>0</v>
      </c>
      <c r="F84" s="32">
        <v>140000</v>
      </c>
      <c r="G84" s="32">
        <f t="shared" si="1"/>
        <v>1200000</v>
      </c>
      <c r="H84" s="15" t="s">
        <v>322</v>
      </c>
      <c r="I84" s="41"/>
    </row>
    <row r="85" spans="1:10" ht="31.5" customHeight="1" x14ac:dyDescent="0.25">
      <c r="A85" s="165" t="s">
        <v>1006</v>
      </c>
      <c r="B85" s="31" t="s">
        <v>1010</v>
      </c>
      <c r="C85" s="154">
        <v>0</v>
      </c>
      <c r="D85" s="154">
        <v>0</v>
      </c>
      <c r="E85" s="32">
        <v>0</v>
      </c>
      <c r="F85" s="32">
        <v>0</v>
      </c>
      <c r="G85" s="32">
        <f t="shared" si="1"/>
        <v>0</v>
      </c>
      <c r="H85" s="15" t="s">
        <v>322</v>
      </c>
    </row>
    <row r="86" spans="1:10" ht="31.5" customHeight="1" x14ac:dyDescent="0.25">
      <c r="A86" s="165" t="s">
        <v>1007</v>
      </c>
      <c r="B86" s="31" t="s">
        <v>1011</v>
      </c>
      <c r="C86" s="154">
        <v>0</v>
      </c>
      <c r="D86" s="154">
        <v>0</v>
      </c>
      <c r="E86" s="32">
        <v>0</v>
      </c>
      <c r="F86" s="32">
        <v>0</v>
      </c>
      <c r="G86" s="32">
        <f t="shared" si="1"/>
        <v>0</v>
      </c>
      <c r="H86" s="15" t="s">
        <v>322</v>
      </c>
    </row>
    <row r="87" spans="1:10" ht="31.5" customHeight="1" x14ac:dyDescent="0.25">
      <c r="A87" s="165" t="s">
        <v>1008</v>
      </c>
      <c r="B87" s="31" t="s">
        <v>1012</v>
      </c>
      <c r="C87" s="154">
        <v>0</v>
      </c>
      <c r="D87" s="154">
        <v>0</v>
      </c>
      <c r="E87" s="32">
        <v>0</v>
      </c>
      <c r="F87" s="32">
        <v>0</v>
      </c>
      <c r="G87" s="32">
        <f t="shared" si="1"/>
        <v>0</v>
      </c>
      <c r="H87" s="15" t="s">
        <v>322</v>
      </c>
    </row>
    <row r="88" spans="1:10" ht="31.5" customHeight="1" x14ac:dyDescent="0.25">
      <c r="A88" s="165" t="s">
        <v>1009</v>
      </c>
      <c r="B88" s="31" t="s">
        <v>1013</v>
      </c>
      <c r="C88" s="154">
        <v>0</v>
      </c>
      <c r="D88" s="154">
        <v>0</v>
      </c>
      <c r="E88" s="32">
        <v>0</v>
      </c>
      <c r="F88" s="32">
        <v>0</v>
      </c>
      <c r="G88" s="32">
        <v>0</v>
      </c>
      <c r="H88" s="15" t="s">
        <v>322</v>
      </c>
    </row>
    <row r="89" spans="1:10" ht="31.5" customHeight="1" x14ac:dyDescent="0.25">
      <c r="A89" s="165" t="s">
        <v>901</v>
      </c>
      <c r="B89" s="31" t="s">
        <v>902</v>
      </c>
      <c r="C89" s="154">
        <v>4807.24</v>
      </c>
      <c r="D89" s="154">
        <v>0</v>
      </c>
      <c r="E89" s="32">
        <v>0</v>
      </c>
      <c r="F89" s="32">
        <v>0</v>
      </c>
      <c r="G89" s="32">
        <f t="shared" si="1"/>
        <v>4807.24</v>
      </c>
      <c r="H89" s="15" t="s">
        <v>323</v>
      </c>
    </row>
    <row r="90" spans="1:10" ht="31.5" customHeight="1" x14ac:dyDescent="0.25">
      <c r="A90" s="165" t="s">
        <v>582</v>
      </c>
      <c r="B90" s="31" t="s">
        <v>814</v>
      </c>
      <c r="C90" s="154">
        <v>484.93</v>
      </c>
      <c r="D90" s="154">
        <v>0</v>
      </c>
      <c r="E90" s="32">
        <v>0</v>
      </c>
      <c r="F90" s="32">
        <v>484.93</v>
      </c>
      <c r="G90" s="32">
        <f t="shared" si="1"/>
        <v>0</v>
      </c>
      <c r="H90" s="15" t="s">
        <v>323</v>
      </c>
    </row>
    <row r="91" spans="1:10" ht="31.5" customHeight="1" x14ac:dyDescent="0.25">
      <c r="A91" s="165" t="s">
        <v>792</v>
      </c>
      <c r="B91" s="31" t="s">
        <v>793</v>
      </c>
      <c r="C91" s="154">
        <v>0</v>
      </c>
      <c r="D91" s="154">
        <v>0</v>
      </c>
      <c r="E91" s="32">
        <v>0</v>
      </c>
      <c r="F91" s="32">
        <v>0</v>
      </c>
      <c r="G91" s="32">
        <f>+C91-D91+E91-F91</f>
        <v>0</v>
      </c>
      <c r="H91" s="15" t="s">
        <v>323</v>
      </c>
    </row>
    <row r="92" spans="1:10" ht="31.5" customHeight="1" x14ac:dyDescent="0.25">
      <c r="A92" s="165" t="s">
        <v>1014</v>
      </c>
      <c r="B92" s="31" t="s">
        <v>1015</v>
      </c>
      <c r="C92" s="154">
        <v>500</v>
      </c>
      <c r="D92" s="154">
        <v>0</v>
      </c>
      <c r="E92" s="32">
        <v>0</v>
      </c>
      <c r="F92" s="32">
        <v>500</v>
      </c>
      <c r="G92" s="32">
        <f>+C92-D92+E92-F92</f>
        <v>0</v>
      </c>
      <c r="H92" s="15" t="s">
        <v>323</v>
      </c>
    </row>
    <row r="93" spans="1:10" ht="31.5" customHeight="1" x14ac:dyDescent="0.25">
      <c r="A93" s="165" t="s">
        <v>1039</v>
      </c>
      <c r="B93" s="31" t="str">
        <f>+B91</f>
        <v>AVR-unaprijed plaćeni zakup</v>
      </c>
      <c r="C93" s="154">
        <v>0</v>
      </c>
      <c r="D93" s="154">
        <v>0</v>
      </c>
      <c r="E93" s="32">
        <v>0</v>
      </c>
      <c r="F93" s="32">
        <v>0</v>
      </c>
      <c r="G93" s="32">
        <f>+C93-D93+E93-F93</f>
        <v>0</v>
      </c>
      <c r="H93" s="15" t="s">
        <v>323</v>
      </c>
    </row>
    <row r="94" spans="1:10" ht="31.5" customHeight="1" thickBot="1" x14ac:dyDescent="0.3">
      <c r="A94" s="30"/>
      <c r="B94" s="31"/>
      <c r="C94" s="31"/>
      <c r="D94" s="31"/>
      <c r="E94" s="32"/>
      <c r="F94" s="32"/>
      <c r="G94" s="32"/>
      <c r="J94" s="115"/>
    </row>
    <row r="95" spans="1:10" ht="31.5" customHeight="1" thickBot="1" x14ac:dyDescent="0.3">
      <c r="A95" s="203" t="s">
        <v>285</v>
      </c>
      <c r="B95" s="204"/>
      <c r="C95" s="124">
        <f>+SUM(C96:C133)</f>
        <v>-18602.94999999999</v>
      </c>
      <c r="D95" s="124">
        <f>+SUM(D96:D133)</f>
        <v>231964.56</v>
      </c>
      <c r="E95" s="106">
        <f>+SUM(E96:E133)</f>
        <v>467747.32</v>
      </c>
      <c r="F95" s="106">
        <f>+SUM(F96:F133)</f>
        <v>455897.78</v>
      </c>
      <c r="G95" s="106">
        <f>+SUM(G96:G133)</f>
        <v>-238717.97</v>
      </c>
      <c r="H95" s="41"/>
    </row>
    <row r="96" spans="1:10" ht="31.5" customHeight="1" x14ac:dyDescent="0.25">
      <c r="A96" s="165" t="s">
        <v>754</v>
      </c>
      <c r="B96" s="31" t="s">
        <v>727</v>
      </c>
      <c r="C96" s="32">
        <v>0</v>
      </c>
      <c r="D96" s="32">
        <v>0</v>
      </c>
      <c r="E96" s="32">
        <v>20692.169999999998</v>
      </c>
      <c r="F96" s="32">
        <v>29788.16</v>
      </c>
      <c r="G96" s="32">
        <f t="shared" ref="G96:G133" si="3">+C96-D96+E96-F96</f>
        <v>-9095.9900000000016</v>
      </c>
      <c r="H96" s="15" t="s">
        <v>335</v>
      </c>
      <c r="J96" s="115"/>
    </row>
    <row r="97" spans="1:13" ht="31.5" customHeight="1" x14ac:dyDescent="0.25">
      <c r="A97" s="165" t="s">
        <v>815</v>
      </c>
      <c r="B97" s="31" t="s">
        <v>816</v>
      </c>
      <c r="C97" s="32">
        <v>0</v>
      </c>
      <c r="D97" s="32">
        <v>0</v>
      </c>
      <c r="E97" s="32">
        <v>0</v>
      </c>
      <c r="F97" s="32">
        <v>0</v>
      </c>
      <c r="G97" s="32">
        <f t="shared" si="3"/>
        <v>0</v>
      </c>
      <c r="H97" s="15" t="s">
        <v>335</v>
      </c>
    </row>
    <row r="98" spans="1:13" ht="36" customHeight="1" x14ac:dyDescent="0.25">
      <c r="A98" s="165" t="s">
        <v>583</v>
      </c>
      <c r="B98" s="31" t="s">
        <v>728</v>
      </c>
      <c r="C98" s="32">
        <v>0</v>
      </c>
      <c r="D98" s="32">
        <v>0</v>
      </c>
      <c r="E98" s="32">
        <v>2695.57</v>
      </c>
      <c r="F98" s="32">
        <v>6710.53</v>
      </c>
      <c r="G98" s="32">
        <f t="shared" si="3"/>
        <v>-4014.9599999999996</v>
      </c>
      <c r="H98" s="15" t="s">
        <v>335</v>
      </c>
      <c r="I98" s="41"/>
      <c r="J98" s="181" t="s">
        <v>285</v>
      </c>
      <c r="K98" s="182"/>
      <c r="L98" s="183"/>
      <c r="M98" s="115"/>
    </row>
    <row r="99" spans="1:13" ht="31.5" customHeight="1" x14ac:dyDescent="0.25">
      <c r="A99" s="165" t="s">
        <v>584</v>
      </c>
      <c r="B99" s="31" t="s">
        <v>729</v>
      </c>
      <c r="C99" s="32">
        <v>0</v>
      </c>
      <c r="D99" s="32">
        <v>0</v>
      </c>
      <c r="E99" s="32">
        <v>1404.42</v>
      </c>
      <c r="F99" s="32">
        <v>3618.02</v>
      </c>
      <c r="G99" s="32">
        <f t="shared" si="3"/>
        <v>-2213.6</v>
      </c>
      <c r="H99" s="15" t="s">
        <v>335</v>
      </c>
      <c r="J99" s="176" t="s">
        <v>912</v>
      </c>
      <c r="K99" s="177"/>
      <c r="L99" s="130">
        <f>-(G108)-G109-G110</f>
        <v>153210.48999999996</v>
      </c>
    </row>
    <row r="100" spans="1:13" ht="31.5" customHeight="1" x14ac:dyDescent="0.25">
      <c r="A100" s="165" t="s">
        <v>585</v>
      </c>
      <c r="B100" s="31" t="s">
        <v>730</v>
      </c>
      <c r="C100" s="32">
        <v>0</v>
      </c>
      <c r="D100" s="32">
        <v>0</v>
      </c>
      <c r="E100" s="32">
        <v>82.61</v>
      </c>
      <c r="F100" s="32">
        <v>212.86</v>
      </c>
      <c r="G100" s="32">
        <f t="shared" si="3"/>
        <v>-130.25</v>
      </c>
      <c r="H100" s="15" t="s">
        <v>335</v>
      </c>
      <c r="J100" s="176" t="s">
        <v>1058</v>
      </c>
      <c r="K100" s="177"/>
      <c r="L100" s="130">
        <f>-G111</f>
        <v>51540.459999999992</v>
      </c>
    </row>
    <row r="101" spans="1:13" ht="31.5" customHeight="1" x14ac:dyDescent="0.25">
      <c r="A101" s="165" t="s">
        <v>586</v>
      </c>
      <c r="B101" s="31" t="s">
        <v>731</v>
      </c>
      <c r="C101" s="32">
        <v>0</v>
      </c>
      <c r="D101" s="32">
        <v>0</v>
      </c>
      <c r="E101" s="32">
        <v>0</v>
      </c>
      <c r="F101" s="32">
        <v>0</v>
      </c>
      <c r="G101" s="32">
        <f t="shared" si="3"/>
        <v>0</v>
      </c>
      <c r="H101" s="15" t="s">
        <v>335</v>
      </c>
      <c r="J101" s="176" t="s">
        <v>913</v>
      </c>
      <c r="K101" s="177"/>
      <c r="L101" s="130">
        <f>-G133</f>
        <v>3037.92</v>
      </c>
    </row>
    <row r="102" spans="1:13" ht="31.5" customHeight="1" x14ac:dyDescent="0.25">
      <c r="A102" s="165" t="s">
        <v>817</v>
      </c>
      <c r="B102" s="31" t="s">
        <v>818</v>
      </c>
      <c r="C102" s="32">
        <v>0</v>
      </c>
      <c r="D102" s="32">
        <v>0</v>
      </c>
      <c r="E102" s="32">
        <v>0</v>
      </c>
      <c r="F102" s="32">
        <v>0</v>
      </c>
      <c r="G102" s="32">
        <f t="shared" si="3"/>
        <v>0</v>
      </c>
      <c r="H102" s="15" t="s">
        <v>335</v>
      </c>
      <c r="J102" s="184" t="s">
        <v>914</v>
      </c>
      <c r="K102" s="185"/>
      <c r="L102" s="130">
        <f>-(+SUM(G96:G107)+SUM(G112:G132))</f>
        <v>30929.099999999988</v>
      </c>
      <c r="M102" s="115">
        <f>+L101+L102</f>
        <v>33967.01999999999</v>
      </c>
    </row>
    <row r="103" spans="1:13" ht="31.5" customHeight="1" x14ac:dyDescent="0.25">
      <c r="A103" s="165" t="s">
        <v>819</v>
      </c>
      <c r="B103" s="31" t="s">
        <v>820</v>
      </c>
      <c r="C103" s="32">
        <v>0</v>
      </c>
      <c r="D103" s="32">
        <v>0</v>
      </c>
      <c r="E103" s="32">
        <v>0</v>
      </c>
      <c r="F103" s="32">
        <v>0</v>
      </c>
      <c r="G103" s="32">
        <f t="shared" si="3"/>
        <v>0</v>
      </c>
      <c r="H103" s="15" t="s">
        <v>335</v>
      </c>
      <c r="J103" s="175" t="s">
        <v>915</v>
      </c>
      <c r="K103" s="175"/>
      <c r="L103" s="131">
        <f>+L99+L101+L102+L100</f>
        <v>238717.96999999994</v>
      </c>
    </row>
    <row r="104" spans="1:13" ht="31.5" customHeight="1" x14ac:dyDescent="0.25">
      <c r="A104" s="165" t="s">
        <v>587</v>
      </c>
      <c r="B104" s="31" t="s">
        <v>732</v>
      </c>
      <c r="C104" s="32">
        <v>0</v>
      </c>
      <c r="D104" s="32">
        <v>0</v>
      </c>
      <c r="E104" s="32">
        <v>1783.87</v>
      </c>
      <c r="F104" s="32">
        <v>4406.95</v>
      </c>
      <c r="G104" s="32">
        <f t="shared" si="3"/>
        <v>-2623.08</v>
      </c>
      <c r="H104" s="15" t="s">
        <v>335</v>
      </c>
      <c r="J104" s="115"/>
    </row>
    <row r="105" spans="1:13" ht="31.5" customHeight="1" x14ac:dyDescent="0.25">
      <c r="A105" s="165" t="s">
        <v>589</v>
      </c>
      <c r="B105" s="31" t="s">
        <v>588</v>
      </c>
      <c r="C105" s="32">
        <v>0</v>
      </c>
      <c r="D105" s="32">
        <v>0</v>
      </c>
      <c r="E105" s="32">
        <v>0</v>
      </c>
      <c r="F105" s="32">
        <v>0</v>
      </c>
      <c r="G105" s="32">
        <f t="shared" si="3"/>
        <v>0</v>
      </c>
      <c r="H105" s="15" t="s">
        <v>335</v>
      </c>
    </row>
    <row r="106" spans="1:13" ht="31.5" customHeight="1" x14ac:dyDescent="0.25">
      <c r="A106" s="165" t="s">
        <v>1071</v>
      </c>
      <c r="B106" s="31" t="s">
        <v>1072</v>
      </c>
      <c r="C106" s="32">
        <v>0</v>
      </c>
      <c r="D106" s="32">
        <v>0</v>
      </c>
      <c r="E106" s="32">
        <v>347.57</v>
      </c>
      <c r="F106" s="32">
        <v>412.66</v>
      </c>
      <c r="G106" s="32">
        <f t="shared" si="3"/>
        <v>-65.090000000000032</v>
      </c>
      <c r="H106" s="15" t="s">
        <v>335</v>
      </c>
    </row>
    <row r="107" spans="1:13" ht="31.5" customHeight="1" x14ac:dyDescent="0.25">
      <c r="A107" s="167" t="s">
        <v>590</v>
      </c>
      <c r="B107" s="31" t="s">
        <v>733</v>
      </c>
      <c r="C107" s="32">
        <v>0</v>
      </c>
      <c r="D107" s="32">
        <v>0</v>
      </c>
      <c r="E107" s="32">
        <v>254836.51</v>
      </c>
      <c r="F107" s="32">
        <v>254836.51</v>
      </c>
      <c r="G107" s="32">
        <f t="shared" si="3"/>
        <v>0</v>
      </c>
      <c r="H107" s="15" t="s">
        <v>336</v>
      </c>
    </row>
    <row r="108" spans="1:13" ht="31.5" customHeight="1" x14ac:dyDescent="0.25">
      <c r="A108" s="165" t="s">
        <v>591</v>
      </c>
      <c r="B108" s="31" t="s">
        <v>734</v>
      </c>
      <c r="C108" s="32">
        <v>0</v>
      </c>
      <c r="D108" s="32">
        <v>31311.84</v>
      </c>
      <c r="E108" s="32">
        <v>59956.66</v>
      </c>
      <c r="F108" s="32">
        <v>45232.46</v>
      </c>
      <c r="G108" s="32">
        <f t="shared" si="3"/>
        <v>-16587.639999999996</v>
      </c>
      <c r="H108" s="15" t="s">
        <v>336</v>
      </c>
    </row>
    <row r="109" spans="1:13" ht="31.5" customHeight="1" x14ac:dyDescent="0.25">
      <c r="A109" s="165" t="s">
        <v>592</v>
      </c>
      <c r="B109" s="31" t="s">
        <v>900</v>
      </c>
      <c r="C109" s="32">
        <v>0</v>
      </c>
      <c r="D109" s="32">
        <v>110762.51</v>
      </c>
      <c r="E109" s="32">
        <v>0</v>
      </c>
      <c r="F109" s="32">
        <v>24010.57</v>
      </c>
      <c r="G109" s="32">
        <f t="shared" si="3"/>
        <v>-134773.07999999999</v>
      </c>
      <c r="H109" s="15" t="s">
        <v>336</v>
      </c>
    </row>
    <row r="110" spans="1:13" ht="31.5" customHeight="1" x14ac:dyDescent="0.25">
      <c r="A110" s="165" t="s">
        <v>889</v>
      </c>
      <c r="B110" s="31" t="s">
        <v>890</v>
      </c>
      <c r="C110" s="32">
        <v>0</v>
      </c>
      <c r="D110" s="32">
        <v>1453.66</v>
      </c>
      <c r="E110" s="32">
        <v>0</v>
      </c>
      <c r="F110" s="32">
        <v>396.11</v>
      </c>
      <c r="G110" s="32">
        <f t="shared" si="3"/>
        <v>-1849.77</v>
      </c>
      <c r="H110" s="15" t="s">
        <v>336</v>
      </c>
    </row>
    <row r="111" spans="1:13" ht="31.5" customHeight="1" x14ac:dyDescent="0.25">
      <c r="A111" s="165" t="s">
        <v>864</v>
      </c>
      <c r="B111" s="31" t="s">
        <v>865</v>
      </c>
      <c r="C111" s="32">
        <v>0</v>
      </c>
      <c r="D111" s="32">
        <v>88419.04</v>
      </c>
      <c r="E111" s="32">
        <v>36878.58</v>
      </c>
      <c r="F111" s="32">
        <v>0</v>
      </c>
      <c r="G111" s="32">
        <f t="shared" si="3"/>
        <v>-51540.459999999992</v>
      </c>
      <c r="H111" s="15" t="s">
        <v>322</v>
      </c>
    </row>
    <row r="112" spans="1:13" ht="31.5" customHeight="1" x14ac:dyDescent="0.25">
      <c r="A112" s="165" t="s">
        <v>593</v>
      </c>
      <c r="B112" s="31" t="s">
        <v>594</v>
      </c>
      <c r="C112" s="32">
        <v>0</v>
      </c>
      <c r="D112" s="32">
        <v>0</v>
      </c>
      <c r="E112" s="32">
        <v>0</v>
      </c>
      <c r="F112" s="32">
        <v>0</v>
      </c>
      <c r="G112" s="32">
        <f t="shared" si="3"/>
        <v>0</v>
      </c>
      <c r="H112" s="15" t="s">
        <v>337</v>
      </c>
    </row>
    <row r="113" spans="1:11" ht="31.5" customHeight="1" x14ac:dyDescent="0.25">
      <c r="A113" s="165" t="s">
        <v>821</v>
      </c>
      <c r="B113" s="31" t="s">
        <v>822</v>
      </c>
      <c r="C113" s="32">
        <v>0</v>
      </c>
      <c r="D113" s="32">
        <v>0</v>
      </c>
      <c r="E113" s="32">
        <v>2302.92</v>
      </c>
      <c r="F113" s="32">
        <v>2302.92</v>
      </c>
      <c r="G113" s="32">
        <f t="shared" si="3"/>
        <v>0</v>
      </c>
      <c r="H113" s="15" t="s">
        <v>337</v>
      </c>
    </row>
    <row r="114" spans="1:11" ht="31.5" customHeight="1" x14ac:dyDescent="0.25">
      <c r="A114" s="165" t="s">
        <v>595</v>
      </c>
      <c r="B114" s="31" t="s">
        <v>735</v>
      </c>
      <c r="C114" s="32">
        <v>7060.13</v>
      </c>
      <c r="D114" s="32">
        <v>0</v>
      </c>
      <c r="E114" s="32">
        <v>0</v>
      </c>
      <c r="F114" s="157">
        <v>0</v>
      </c>
      <c r="G114" s="32">
        <f t="shared" si="3"/>
        <v>7060.13</v>
      </c>
      <c r="H114" s="15" t="s">
        <v>338</v>
      </c>
    </row>
    <row r="115" spans="1:11" ht="31.5" customHeight="1" x14ac:dyDescent="0.25">
      <c r="A115" s="165" t="s">
        <v>596</v>
      </c>
      <c r="B115" s="31" t="s">
        <v>597</v>
      </c>
      <c r="C115" s="32">
        <v>0</v>
      </c>
      <c r="D115" s="32">
        <v>17.510000000000002</v>
      </c>
      <c r="E115" s="32">
        <v>266.95</v>
      </c>
      <c r="F115" s="32">
        <v>249.44</v>
      </c>
      <c r="G115" s="32">
        <f t="shared" si="3"/>
        <v>0</v>
      </c>
      <c r="H115" s="15" t="s">
        <v>338</v>
      </c>
    </row>
    <row r="116" spans="1:11" ht="31.5" customHeight="1" x14ac:dyDescent="0.25">
      <c r="A116" s="165" t="s">
        <v>598</v>
      </c>
      <c r="B116" s="31" t="s">
        <v>736</v>
      </c>
      <c r="C116" s="32">
        <v>0</v>
      </c>
      <c r="D116" s="32">
        <v>0</v>
      </c>
      <c r="E116" s="32">
        <v>988.4</v>
      </c>
      <c r="F116" s="32">
        <v>2460.5700000000002</v>
      </c>
      <c r="G116" s="32">
        <f t="shared" si="3"/>
        <v>-1472.17</v>
      </c>
      <c r="H116" s="15" t="s">
        <v>338</v>
      </c>
    </row>
    <row r="117" spans="1:11" ht="31.5" customHeight="1" x14ac:dyDescent="0.25">
      <c r="A117" s="165" t="s">
        <v>599</v>
      </c>
      <c r="B117" s="31" t="s">
        <v>737</v>
      </c>
      <c r="C117" s="32">
        <v>0</v>
      </c>
      <c r="D117" s="32">
        <v>0</v>
      </c>
      <c r="E117" s="32">
        <v>710.46</v>
      </c>
      <c r="F117" s="32">
        <v>1830.14</v>
      </c>
      <c r="G117" s="32">
        <f t="shared" si="3"/>
        <v>-1119.68</v>
      </c>
      <c r="H117" s="15" t="s">
        <v>338</v>
      </c>
    </row>
    <row r="118" spans="1:11" ht="31.5" customHeight="1" x14ac:dyDescent="0.25">
      <c r="A118" s="165" t="s">
        <v>600</v>
      </c>
      <c r="B118" s="31" t="s">
        <v>738</v>
      </c>
      <c r="C118" s="32">
        <v>0</v>
      </c>
      <c r="D118" s="32">
        <v>0</v>
      </c>
      <c r="E118" s="32">
        <v>82.61</v>
      </c>
      <c r="F118" s="32">
        <v>212.88</v>
      </c>
      <c r="G118" s="32">
        <f t="shared" si="3"/>
        <v>-130.26999999999998</v>
      </c>
      <c r="H118" s="15" t="s">
        <v>338</v>
      </c>
    </row>
    <row r="119" spans="1:11" ht="31.5" customHeight="1" x14ac:dyDescent="0.25">
      <c r="A119" s="165" t="s">
        <v>601</v>
      </c>
      <c r="B119" s="31" t="s">
        <v>324</v>
      </c>
      <c r="C119" s="32">
        <v>-0.04</v>
      </c>
      <c r="D119" s="32">
        <v>0</v>
      </c>
      <c r="E119" s="32">
        <v>138.87</v>
      </c>
      <c r="F119" s="32">
        <v>199.97</v>
      </c>
      <c r="G119" s="32">
        <f t="shared" si="3"/>
        <v>-61.139999999999986</v>
      </c>
      <c r="H119" s="15" t="s">
        <v>338</v>
      </c>
    </row>
    <row r="120" spans="1:11" ht="31.5" customHeight="1" x14ac:dyDescent="0.25">
      <c r="A120" s="165" t="s">
        <v>602</v>
      </c>
      <c r="B120" s="31" t="s">
        <v>325</v>
      </c>
      <c r="C120" s="32">
        <v>0</v>
      </c>
      <c r="D120" s="32">
        <v>0</v>
      </c>
      <c r="E120" s="32">
        <v>33.049999999999997</v>
      </c>
      <c r="F120" s="32">
        <v>85.09</v>
      </c>
      <c r="G120" s="32">
        <f t="shared" si="3"/>
        <v>-52.040000000000006</v>
      </c>
      <c r="H120" s="15" t="s">
        <v>338</v>
      </c>
    </row>
    <row r="121" spans="1:11" ht="31.5" customHeight="1" x14ac:dyDescent="0.25">
      <c r="A121" s="165" t="s">
        <v>603</v>
      </c>
      <c r="B121" s="31" t="s">
        <v>326</v>
      </c>
      <c r="C121" s="32">
        <v>-36.25</v>
      </c>
      <c r="D121" s="32">
        <v>0</v>
      </c>
      <c r="E121" s="32">
        <v>73.8</v>
      </c>
      <c r="F121" s="32">
        <v>112.65</v>
      </c>
      <c r="G121" s="32">
        <f t="shared" si="3"/>
        <v>-75.100000000000009</v>
      </c>
      <c r="H121" s="15" t="s">
        <v>338</v>
      </c>
    </row>
    <row r="122" spans="1:11" ht="31.5" customHeight="1" x14ac:dyDescent="0.25">
      <c r="A122" s="165" t="s">
        <v>604</v>
      </c>
      <c r="B122" s="31" t="s">
        <v>607</v>
      </c>
      <c r="C122" s="32">
        <v>0</v>
      </c>
      <c r="D122" s="32">
        <v>0</v>
      </c>
      <c r="E122" s="32">
        <v>0</v>
      </c>
      <c r="F122" s="32">
        <v>0</v>
      </c>
      <c r="G122" s="32">
        <f t="shared" si="3"/>
        <v>0</v>
      </c>
      <c r="H122" s="15" t="s">
        <v>338</v>
      </c>
    </row>
    <row r="123" spans="1:11" ht="31.5" customHeight="1" x14ac:dyDescent="0.25">
      <c r="A123" s="165" t="s">
        <v>605</v>
      </c>
      <c r="B123" s="31" t="s">
        <v>606</v>
      </c>
      <c r="C123" s="32">
        <v>-121.01</v>
      </c>
      <c r="D123" s="32">
        <v>0</v>
      </c>
      <c r="E123" s="32">
        <v>617.91</v>
      </c>
      <c r="F123" s="32">
        <v>698.43</v>
      </c>
      <c r="G123" s="32">
        <f t="shared" si="3"/>
        <v>-201.52999999999997</v>
      </c>
      <c r="H123" s="15" t="s">
        <v>338</v>
      </c>
      <c r="J123" s="115"/>
    </row>
    <row r="124" spans="1:11" ht="31.5" customHeight="1" x14ac:dyDescent="0.25">
      <c r="A124" s="165" t="s">
        <v>608</v>
      </c>
      <c r="B124" s="31" t="s">
        <v>739</v>
      </c>
      <c r="C124" s="32">
        <v>0</v>
      </c>
      <c r="D124" s="32">
        <v>0</v>
      </c>
      <c r="E124" s="32">
        <v>0</v>
      </c>
      <c r="F124" s="32">
        <v>0</v>
      </c>
      <c r="G124" s="32">
        <f t="shared" si="3"/>
        <v>0</v>
      </c>
      <c r="H124" s="15" t="s">
        <v>338</v>
      </c>
      <c r="K124" s="115"/>
    </row>
    <row r="125" spans="1:11" ht="31.5" customHeight="1" x14ac:dyDescent="0.25">
      <c r="A125" s="165" t="s">
        <v>823</v>
      </c>
      <c r="B125" s="31" t="s">
        <v>825</v>
      </c>
      <c r="C125" s="32">
        <v>0</v>
      </c>
      <c r="D125" s="32">
        <v>0</v>
      </c>
      <c r="E125" s="32">
        <v>0</v>
      </c>
      <c r="F125" s="32">
        <v>0</v>
      </c>
      <c r="G125" s="32">
        <f t="shared" si="3"/>
        <v>0</v>
      </c>
      <c r="H125" s="15" t="s">
        <v>338</v>
      </c>
      <c r="K125" s="115"/>
    </row>
    <row r="126" spans="1:11" ht="31.5" customHeight="1" x14ac:dyDescent="0.25">
      <c r="A126" s="165" t="s">
        <v>824</v>
      </c>
      <c r="B126" s="31" t="s">
        <v>826</v>
      </c>
      <c r="C126" s="32">
        <v>0</v>
      </c>
      <c r="D126" s="32">
        <v>0</v>
      </c>
      <c r="E126" s="32">
        <v>0</v>
      </c>
      <c r="F126" s="32">
        <v>0</v>
      </c>
      <c r="G126" s="32">
        <f t="shared" si="3"/>
        <v>0</v>
      </c>
      <c r="H126" s="15" t="s">
        <v>338</v>
      </c>
    </row>
    <row r="127" spans="1:11" ht="31.5" customHeight="1" x14ac:dyDescent="0.25">
      <c r="A127" s="165" t="s">
        <v>609</v>
      </c>
      <c r="B127" s="31" t="s">
        <v>740</v>
      </c>
      <c r="C127" s="32">
        <v>-3834.2299999999814</v>
      </c>
      <c r="D127" s="32">
        <v>0</v>
      </c>
      <c r="E127" s="32">
        <v>38172.14</v>
      </c>
      <c r="F127" s="32">
        <v>36551.589999999997</v>
      </c>
      <c r="G127" s="32">
        <f t="shared" si="3"/>
        <v>-2213.6799999999785</v>
      </c>
      <c r="H127" s="15" t="s">
        <v>338</v>
      </c>
      <c r="I127" s="41"/>
      <c r="J127" s="115"/>
    </row>
    <row r="128" spans="1:11" ht="31.5" customHeight="1" x14ac:dyDescent="0.25">
      <c r="A128" s="165" t="s">
        <v>610</v>
      </c>
      <c r="B128" s="31" t="s">
        <v>741</v>
      </c>
      <c r="C128" s="32">
        <v>0</v>
      </c>
      <c r="D128" s="32">
        <v>0</v>
      </c>
      <c r="E128" s="32">
        <v>36966.769999999997</v>
      </c>
      <c r="F128" s="32">
        <v>36966.769999999997</v>
      </c>
      <c r="G128" s="32">
        <f t="shared" si="3"/>
        <v>0</v>
      </c>
      <c r="H128" s="15" t="s">
        <v>338</v>
      </c>
      <c r="K128" s="115"/>
    </row>
    <row r="129" spans="1:17" ht="31.5" customHeight="1" x14ac:dyDescent="0.25">
      <c r="A129" s="165" t="s">
        <v>874</v>
      </c>
      <c r="B129" s="31" t="s">
        <v>866</v>
      </c>
      <c r="C129" s="32">
        <v>-6250.1500000000087</v>
      </c>
      <c r="D129" s="32">
        <v>0</v>
      </c>
      <c r="E129" s="32">
        <v>0</v>
      </c>
      <c r="F129" s="32">
        <v>0</v>
      </c>
      <c r="G129" s="32">
        <f t="shared" si="3"/>
        <v>-6250.1500000000087</v>
      </c>
      <c r="H129" s="15" t="s">
        <v>338</v>
      </c>
    </row>
    <row r="130" spans="1:17" ht="31.5" customHeight="1" x14ac:dyDescent="0.25">
      <c r="A130" s="165" t="s">
        <v>611</v>
      </c>
      <c r="B130" s="31" t="s">
        <v>360</v>
      </c>
      <c r="C130" s="32">
        <v>0</v>
      </c>
      <c r="D130" s="32">
        <v>0</v>
      </c>
      <c r="E130" s="32">
        <v>3710</v>
      </c>
      <c r="F130" s="32">
        <v>3710</v>
      </c>
      <c r="G130" s="32">
        <f>+C130-D130+E130-F130</f>
        <v>0</v>
      </c>
      <c r="H130" s="15" t="s">
        <v>338</v>
      </c>
      <c r="J130" s="186" t="s">
        <v>916</v>
      </c>
      <c r="K130" s="187"/>
      <c r="L130" s="188"/>
    </row>
    <row r="131" spans="1:17" ht="31.5" customHeight="1" x14ac:dyDescent="0.25">
      <c r="A131" s="165" t="s">
        <v>892</v>
      </c>
      <c r="B131" s="31" t="s">
        <v>891</v>
      </c>
      <c r="C131" s="32">
        <v>0</v>
      </c>
      <c r="D131" s="32">
        <v>0</v>
      </c>
      <c r="E131" s="32">
        <v>0</v>
      </c>
      <c r="F131" s="32">
        <v>0</v>
      </c>
      <c r="G131" s="32">
        <f t="shared" si="3"/>
        <v>0</v>
      </c>
      <c r="H131" s="15" t="s">
        <v>845</v>
      </c>
      <c r="J131" s="100" t="s">
        <v>917</v>
      </c>
      <c r="K131" s="189">
        <f>+SUM(G138:G155)+SUM(G157:G159)+SUM(G163:G171)+G176+G178+SUM(G181:G219)+SUM(G221:G231)</f>
        <v>229694.40999999995</v>
      </c>
      <c r="L131" s="190"/>
    </row>
    <row r="132" spans="1:17" ht="31.5" customHeight="1" x14ac:dyDescent="0.25">
      <c r="A132" s="165" t="s">
        <v>1040</v>
      </c>
      <c r="B132" s="31" t="str">
        <f>+B131</f>
        <v>Ostale druge kratkoročne obaveze ukalkulisani troškovi za koje nema faktura</v>
      </c>
      <c r="C132" s="32">
        <v>-12320</v>
      </c>
      <c r="D132" s="32">
        <v>0</v>
      </c>
      <c r="E132" s="32">
        <v>4942</v>
      </c>
      <c r="F132" s="32">
        <v>892.5</v>
      </c>
      <c r="G132" s="32">
        <f t="shared" si="3"/>
        <v>-8270.5</v>
      </c>
      <c r="H132" s="15" t="s">
        <v>845</v>
      </c>
      <c r="J132" s="83" t="s">
        <v>918</v>
      </c>
      <c r="K132" s="191">
        <f>+G156+G160+G161+G162+G172+G173+G174+G175+G177+G179+G180+G220</f>
        <v>48909.510000000009</v>
      </c>
      <c r="L132" s="192"/>
    </row>
    <row r="133" spans="1:17" ht="31.5" customHeight="1" x14ac:dyDescent="0.25">
      <c r="A133" s="165" t="s">
        <v>877</v>
      </c>
      <c r="B133" s="31" t="s">
        <v>827</v>
      </c>
      <c r="C133" s="32">
        <v>-3101.4</v>
      </c>
      <c r="D133" s="32">
        <v>0</v>
      </c>
      <c r="E133" s="32">
        <v>63.48</v>
      </c>
      <c r="F133" s="32">
        <v>0</v>
      </c>
      <c r="G133" s="32">
        <f t="shared" si="3"/>
        <v>-3037.92</v>
      </c>
      <c r="H133" s="15" t="s">
        <v>845</v>
      </c>
      <c r="J133" s="100" t="s">
        <v>919</v>
      </c>
      <c r="K133" s="193">
        <f>+G136+G137</f>
        <v>260954.97</v>
      </c>
      <c r="L133" s="194"/>
    </row>
    <row r="134" spans="1:17" ht="31.5" customHeight="1" x14ac:dyDescent="0.25">
      <c r="A134" s="30"/>
      <c r="B134" s="31"/>
      <c r="C134" s="32"/>
      <c r="D134" s="32"/>
      <c r="E134" s="32"/>
      <c r="F134" s="32"/>
      <c r="G134" s="32"/>
      <c r="H134" s="41"/>
      <c r="J134" s="132" t="s">
        <v>920</v>
      </c>
      <c r="K134" s="189">
        <f>+G151+G152</f>
        <v>0</v>
      </c>
      <c r="L134" s="190"/>
    </row>
    <row r="135" spans="1:17" ht="31.5" customHeight="1" thickBot="1" x14ac:dyDescent="0.3">
      <c r="A135" s="205" t="s">
        <v>286</v>
      </c>
      <c r="B135" s="206"/>
      <c r="C135" s="126">
        <f>+SUM(C136:C231)</f>
        <v>0</v>
      </c>
      <c r="D135" s="126">
        <f>+SUM(D136:D231)</f>
        <v>0</v>
      </c>
      <c r="E135" s="114">
        <f>+SUM(E136:E231)</f>
        <v>628126.16999999981</v>
      </c>
      <c r="F135" s="114">
        <f>+SUM(F136:F231)</f>
        <v>88567.28</v>
      </c>
      <c r="G135" s="114">
        <f>+SUM(G136:G231)</f>
        <v>539558.88999999978</v>
      </c>
      <c r="H135" s="41"/>
      <c r="I135" s="41">
        <f>+SUM(G150:G231)</f>
        <v>142351.70000000001</v>
      </c>
      <c r="J135" s="133" t="s">
        <v>303</v>
      </c>
      <c r="K135" s="209">
        <f>+K131+K132+K133+K134</f>
        <v>539558.8899999999</v>
      </c>
      <c r="L135" s="210"/>
    </row>
    <row r="136" spans="1:17" ht="31.5" customHeight="1" x14ac:dyDescent="0.25">
      <c r="A136" s="167" t="s">
        <v>613</v>
      </c>
      <c r="B136" s="31" t="s">
        <v>361</v>
      </c>
      <c r="C136" s="125">
        <v>0</v>
      </c>
      <c r="D136" s="125">
        <v>0</v>
      </c>
      <c r="E136" s="13">
        <v>259884.97</v>
      </c>
      <c r="F136" s="32">
        <v>0</v>
      </c>
      <c r="G136" s="128">
        <f t="shared" ref="G136:G155" si="4">E136-F136</f>
        <v>259884.97</v>
      </c>
      <c r="H136" s="163" t="s">
        <v>425</v>
      </c>
      <c r="K136" s="115"/>
    </row>
    <row r="137" spans="1:17" ht="31.5" customHeight="1" x14ac:dyDescent="0.25">
      <c r="A137" s="167" t="s">
        <v>614</v>
      </c>
      <c r="B137" s="31" t="s">
        <v>362</v>
      </c>
      <c r="C137" s="125">
        <v>0</v>
      </c>
      <c r="D137" s="125">
        <v>0</v>
      </c>
      <c r="E137" s="13">
        <v>1070</v>
      </c>
      <c r="F137" s="32">
        <v>0</v>
      </c>
      <c r="G137" s="128">
        <f t="shared" si="4"/>
        <v>1070</v>
      </c>
      <c r="H137" s="163" t="s">
        <v>829</v>
      </c>
      <c r="I137" s="41"/>
      <c r="J137" s="181" t="s">
        <v>921</v>
      </c>
      <c r="K137" s="182"/>
      <c r="L137" s="183"/>
    </row>
    <row r="138" spans="1:17" ht="31.5" customHeight="1" x14ac:dyDescent="0.25">
      <c r="A138" s="165" t="s">
        <v>615</v>
      </c>
      <c r="B138" s="31" t="s">
        <v>364</v>
      </c>
      <c r="C138" s="125">
        <v>0</v>
      </c>
      <c r="D138" s="125">
        <v>0</v>
      </c>
      <c r="E138" s="13">
        <v>0</v>
      </c>
      <c r="F138" s="32">
        <v>0</v>
      </c>
      <c r="G138" s="13">
        <f t="shared" si="4"/>
        <v>0</v>
      </c>
      <c r="H138" s="20" t="s">
        <v>426</v>
      </c>
      <c r="I138" s="41"/>
      <c r="J138" s="211" t="s">
        <v>922</v>
      </c>
      <c r="K138" s="211"/>
      <c r="L138" s="130">
        <f>+SUM(G136:G153)+G244+G196</f>
        <v>405045.99</v>
      </c>
    </row>
    <row r="139" spans="1:17" ht="31.5" customHeight="1" x14ac:dyDescent="0.25">
      <c r="A139" s="165" t="s">
        <v>616</v>
      </c>
      <c r="B139" s="31" t="s">
        <v>365</v>
      </c>
      <c r="C139" s="125">
        <v>0</v>
      </c>
      <c r="D139" s="125">
        <v>0</v>
      </c>
      <c r="E139" s="13">
        <v>40426.75</v>
      </c>
      <c r="F139" s="32">
        <v>0</v>
      </c>
      <c r="G139" s="13">
        <f t="shared" si="4"/>
        <v>40426.75</v>
      </c>
      <c r="H139" s="20" t="s">
        <v>427</v>
      </c>
      <c r="I139" s="41"/>
      <c r="J139" s="212" t="s">
        <v>920</v>
      </c>
      <c r="K139" s="212"/>
      <c r="L139" s="130">
        <f>+G151+G152</f>
        <v>0</v>
      </c>
    </row>
    <row r="140" spans="1:17" ht="36" customHeight="1" x14ac:dyDescent="0.25">
      <c r="A140" s="165" t="s">
        <v>618</v>
      </c>
      <c r="B140" s="31" t="s">
        <v>619</v>
      </c>
      <c r="C140" s="125">
        <v>0</v>
      </c>
      <c r="D140" s="125">
        <v>0</v>
      </c>
      <c r="E140" s="168">
        <v>0</v>
      </c>
      <c r="F140" s="157">
        <v>0</v>
      </c>
      <c r="G140" s="13">
        <f t="shared" si="4"/>
        <v>0</v>
      </c>
      <c r="H140" s="20" t="s">
        <v>620</v>
      </c>
      <c r="I140" s="41"/>
      <c r="J140" s="195" t="s">
        <v>923</v>
      </c>
      <c r="K140" s="195"/>
      <c r="L140" s="131">
        <f>+L138-L139</f>
        <v>405045.99</v>
      </c>
    </row>
    <row r="141" spans="1:17" ht="31.5" customHeight="1" x14ac:dyDescent="0.25">
      <c r="A141" s="165" t="s">
        <v>617</v>
      </c>
      <c r="B141" s="31" t="s">
        <v>366</v>
      </c>
      <c r="C141" s="125">
        <v>0</v>
      </c>
      <c r="D141" s="125">
        <v>0</v>
      </c>
      <c r="E141" s="168">
        <v>0</v>
      </c>
      <c r="F141" s="157">
        <v>0</v>
      </c>
      <c r="G141" s="13">
        <v>0</v>
      </c>
      <c r="H141" s="20" t="s">
        <v>428</v>
      </c>
      <c r="I141" s="20"/>
      <c r="J141" s="115"/>
      <c r="N141" s="115"/>
      <c r="O141" s="115"/>
    </row>
    <row r="142" spans="1:17" ht="31.5" customHeight="1" x14ac:dyDescent="0.25">
      <c r="A142" s="165" t="s">
        <v>621</v>
      </c>
      <c r="B142" s="31" t="s">
        <v>367</v>
      </c>
      <c r="C142" s="125">
        <v>0</v>
      </c>
      <c r="D142" s="125">
        <v>0</v>
      </c>
      <c r="E142" s="168">
        <v>0</v>
      </c>
      <c r="F142" s="157">
        <v>0</v>
      </c>
      <c r="G142" s="13">
        <f t="shared" si="4"/>
        <v>0</v>
      </c>
      <c r="H142" s="20" t="s">
        <v>429</v>
      </c>
      <c r="I142" s="20"/>
      <c r="J142" s="181" t="s">
        <v>924</v>
      </c>
      <c r="K142" s="182"/>
      <c r="L142" s="183"/>
      <c r="N142" s="115"/>
    </row>
    <row r="143" spans="1:17" ht="31.5" customHeight="1" x14ac:dyDescent="0.25">
      <c r="A143" s="167" t="s">
        <v>622</v>
      </c>
      <c r="B143" s="31" t="s">
        <v>871</v>
      </c>
      <c r="C143" s="125">
        <v>0</v>
      </c>
      <c r="D143" s="125">
        <v>0</v>
      </c>
      <c r="E143" s="13">
        <v>184358.42</v>
      </c>
      <c r="F143" s="32">
        <v>0</v>
      </c>
      <c r="G143" s="13">
        <f t="shared" si="4"/>
        <v>184358.42</v>
      </c>
      <c r="H143" s="20" t="s">
        <v>430</v>
      </c>
      <c r="I143" s="20"/>
      <c r="J143" s="211" t="s">
        <v>925</v>
      </c>
      <c r="K143" s="211"/>
      <c r="L143" s="130">
        <f>+SUM(G154:G231)-G196</f>
        <v>134512.9</v>
      </c>
    </row>
    <row r="144" spans="1:17" ht="31.5" customHeight="1" x14ac:dyDescent="0.25">
      <c r="A144" s="167" t="s">
        <v>867</v>
      </c>
      <c r="B144" s="31" t="s">
        <v>869</v>
      </c>
      <c r="C144" s="125">
        <v>0</v>
      </c>
      <c r="D144" s="125">
        <v>0</v>
      </c>
      <c r="E144" s="13">
        <v>0</v>
      </c>
      <c r="F144" s="32">
        <v>81444.44</v>
      </c>
      <c r="G144" s="128">
        <f t="shared" si="4"/>
        <v>-81444.44</v>
      </c>
      <c r="H144" s="20" t="s">
        <v>430</v>
      </c>
      <c r="I144" s="20"/>
      <c r="J144" s="211" t="s">
        <v>926</v>
      </c>
      <c r="K144" s="211"/>
      <c r="L144" s="130">
        <f>+G243</f>
        <v>0</v>
      </c>
      <c r="M144" s="207"/>
      <c r="N144" s="208"/>
      <c r="O144" s="208"/>
      <c r="P144" s="208"/>
      <c r="Q144" s="208"/>
    </row>
    <row r="145" spans="1:14" ht="31.5" customHeight="1" x14ac:dyDescent="0.25">
      <c r="A145" s="167" t="s">
        <v>868</v>
      </c>
      <c r="B145" s="31" t="s">
        <v>870</v>
      </c>
      <c r="C145" s="125">
        <v>0</v>
      </c>
      <c r="D145" s="125">
        <v>0</v>
      </c>
      <c r="E145" s="13">
        <v>0</v>
      </c>
      <c r="F145" s="32">
        <v>0</v>
      </c>
      <c r="G145" s="13">
        <f t="shared" si="4"/>
        <v>0</v>
      </c>
      <c r="H145" s="20" t="s">
        <v>430</v>
      </c>
      <c r="I145" s="20"/>
      <c r="J145" s="195" t="s">
        <v>927</v>
      </c>
      <c r="K145" s="195"/>
      <c r="L145" s="131">
        <f>+L143+L144</f>
        <v>134512.9</v>
      </c>
      <c r="M145" s="115"/>
      <c r="N145" s="115"/>
    </row>
    <row r="146" spans="1:14" ht="31.5" customHeight="1" x14ac:dyDescent="0.25">
      <c r="A146" s="165" t="s">
        <v>623</v>
      </c>
      <c r="B146" s="31" t="s">
        <v>368</v>
      </c>
      <c r="C146" s="125">
        <v>0</v>
      </c>
      <c r="D146" s="125">
        <v>0</v>
      </c>
      <c r="E146" s="168">
        <v>0</v>
      </c>
      <c r="F146" s="157">
        <v>0</v>
      </c>
      <c r="G146" s="13">
        <v>0</v>
      </c>
      <c r="H146" s="20" t="s">
        <v>430</v>
      </c>
      <c r="I146" s="20"/>
    </row>
    <row r="147" spans="1:14" ht="31.5" customHeight="1" x14ac:dyDescent="0.25">
      <c r="A147" s="165" t="s">
        <v>624</v>
      </c>
      <c r="B147" s="31" t="str">
        <f>[1]Sheet1!$H$245</f>
        <v>promjena matematičkih rezervisanja za životna osiguranja na ime pripisivanja dobitka u skladu sa uslovima osiguranja</v>
      </c>
      <c r="C147" s="125">
        <v>0</v>
      </c>
      <c r="D147" s="125">
        <v>0</v>
      </c>
      <c r="E147" s="13">
        <v>0</v>
      </c>
      <c r="F147" s="32">
        <v>259</v>
      </c>
      <c r="G147" s="13">
        <f t="shared" si="4"/>
        <v>-259</v>
      </c>
      <c r="H147" s="20" t="s">
        <v>846</v>
      </c>
      <c r="I147" s="20"/>
      <c r="J147" s="129" t="s">
        <v>928</v>
      </c>
      <c r="K147" s="134">
        <f>+G156+G161+G172+G173+G174+G175+G179+G220+G180</f>
        <v>4609.96</v>
      </c>
      <c r="L147" s="115"/>
    </row>
    <row r="148" spans="1:14" ht="31.5" customHeight="1" x14ac:dyDescent="0.25">
      <c r="A148" s="165" t="s">
        <v>755</v>
      </c>
      <c r="B148" s="31" t="s">
        <v>756</v>
      </c>
      <c r="C148" s="125">
        <v>0</v>
      </c>
      <c r="D148" s="125">
        <v>0</v>
      </c>
      <c r="E148" s="13">
        <v>0</v>
      </c>
      <c r="F148" s="32">
        <v>6829.51</v>
      </c>
      <c r="G148" s="128">
        <f t="shared" si="4"/>
        <v>-6829.51</v>
      </c>
      <c r="H148" s="20" t="s">
        <v>444</v>
      </c>
      <c r="I148" s="20"/>
      <c r="N148" s="115"/>
    </row>
    <row r="149" spans="1:14" ht="31.5" customHeight="1" x14ac:dyDescent="0.25">
      <c r="A149" s="165" t="s">
        <v>625</v>
      </c>
      <c r="B149" s="31" t="s">
        <v>626</v>
      </c>
      <c r="C149" s="125">
        <v>0</v>
      </c>
      <c r="D149" s="125">
        <v>0</v>
      </c>
      <c r="E149" s="169">
        <v>0</v>
      </c>
      <c r="F149" s="169">
        <v>0</v>
      </c>
      <c r="G149" s="13">
        <f t="shared" si="4"/>
        <v>0</v>
      </c>
      <c r="H149" s="20" t="s">
        <v>444</v>
      </c>
      <c r="I149" s="41">
        <f>+SUM(G150:G231)</f>
        <v>142351.70000000001</v>
      </c>
      <c r="J149" s="161" t="s">
        <v>1059</v>
      </c>
      <c r="K149" s="115">
        <f>+[2]Sheet1!$C$31+[2]Sheet1!$C$34</f>
        <v>5807.2149210000007</v>
      </c>
      <c r="M149" s="115"/>
    </row>
    <row r="150" spans="1:14" ht="31.5" customHeight="1" x14ac:dyDescent="0.25">
      <c r="A150" s="165" t="s">
        <v>627</v>
      </c>
      <c r="B150" s="31" t="s">
        <v>369</v>
      </c>
      <c r="C150" s="125">
        <v>0</v>
      </c>
      <c r="D150" s="125">
        <v>0</v>
      </c>
      <c r="E150" s="13">
        <v>7838.8</v>
      </c>
      <c r="F150" s="32">
        <v>0</v>
      </c>
      <c r="G150" s="13">
        <f t="shared" si="4"/>
        <v>7838.8</v>
      </c>
      <c r="H150" s="20" t="s">
        <v>431</v>
      </c>
      <c r="I150" s="20"/>
      <c r="J150" s="162" t="s">
        <v>1060</v>
      </c>
      <c r="K150" s="115">
        <v>0</v>
      </c>
      <c r="M150" s="115"/>
    </row>
    <row r="151" spans="1:14" ht="31.5" customHeight="1" x14ac:dyDescent="0.25">
      <c r="A151" s="165" t="s">
        <v>628</v>
      </c>
      <c r="B151" s="31" t="s">
        <v>629</v>
      </c>
      <c r="C151" s="125">
        <v>0</v>
      </c>
      <c r="D151" s="125">
        <v>0</v>
      </c>
      <c r="E151" s="13">
        <v>0</v>
      </c>
      <c r="F151" s="32">
        <v>0</v>
      </c>
      <c r="G151" s="13">
        <f t="shared" si="4"/>
        <v>0</v>
      </c>
      <c r="H151" s="20" t="s">
        <v>630</v>
      </c>
      <c r="I151" s="20"/>
      <c r="J151" s="161" t="s">
        <v>1061</v>
      </c>
      <c r="K151" s="115">
        <f>+[2]Sheet1!$C$29</f>
        <v>6547.0692539999991</v>
      </c>
    </row>
    <row r="152" spans="1:14" ht="31.5" customHeight="1" x14ac:dyDescent="0.25">
      <c r="A152" s="165" t="s">
        <v>878</v>
      </c>
      <c r="B152" s="31" t="s">
        <v>879</v>
      </c>
      <c r="C152" s="125">
        <v>0</v>
      </c>
      <c r="D152" s="125">
        <v>0</v>
      </c>
      <c r="E152" s="13">
        <v>0</v>
      </c>
      <c r="F152" s="32">
        <v>0</v>
      </c>
      <c r="G152" s="13">
        <f t="shared" si="4"/>
        <v>0</v>
      </c>
      <c r="H152" s="20" t="s">
        <v>630</v>
      </c>
      <c r="I152" s="20"/>
      <c r="J152" s="162" t="s">
        <v>1062</v>
      </c>
      <c r="K152" s="115">
        <f>+G160+G161+G162+L152</f>
        <v>65389.048721000006</v>
      </c>
      <c r="L152" s="115">
        <f>+[2]Sheet1!$C$36+[2]Sheet1!$C$39+[2]Sheet1!$C$32+[2]Sheet1!$C$33</f>
        <v>20156.588721</v>
      </c>
      <c r="M152" s="115"/>
    </row>
    <row r="153" spans="1:14" ht="31.5" customHeight="1" x14ac:dyDescent="0.25">
      <c r="A153" s="165" t="s">
        <v>631</v>
      </c>
      <c r="B153" s="31" t="s">
        <v>632</v>
      </c>
      <c r="C153" s="125">
        <v>0</v>
      </c>
      <c r="D153" s="125">
        <v>0</v>
      </c>
      <c r="E153" s="13">
        <v>0</v>
      </c>
      <c r="F153" s="32">
        <v>0</v>
      </c>
      <c r="G153" s="13">
        <f t="shared" si="4"/>
        <v>0</v>
      </c>
      <c r="H153" s="20" t="s">
        <v>448</v>
      </c>
      <c r="I153" s="20"/>
      <c r="J153" s="162" t="s">
        <v>1063</v>
      </c>
      <c r="K153" s="115">
        <f>+G158+G163+G164+G189+G230+G231</f>
        <v>18793.789999999997</v>
      </c>
      <c r="L153" s="115"/>
      <c r="M153" s="115"/>
    </row>
    <row r="154" spans="1:14" ht="31.5" customHeight="1" x14ac:dyDescent="0.25">
      <c r="A154" s="165" t="s">
        <v>855</v>
      </c>
      <c r="B154" s="31" t="s">
        <v>856</v>
      </c>
      <c r="C154" s="125">
        <v>0</v>
      </c>
      <c r="D154" s="125">
        <v>0</v>
      </c>
      <c r="E154" s="13">
        <v>0</v>
      </c>
      <c r="F154" s="32">
        <v>0</v>
      </c>
      <c r="G154" s="13">
        <f t="shared" si="4"/>
        <v>0</v>
      </c>
      <c r="H154" s="20" t="s">
        <v>875</v>
      </c>
      <c r="I154" s="20"/>
      <c r="J154" s="162" t="s">
        <v>1064</v>
      </c>
      <c r="K154" s="115">
        <f>+SUM(G165:G188)+SUM(G190:G197)+SUM(G220:G229)+L154+2988.12</f>
        <v>39920.967103999988</v>
      </c>
      <c r="L154" s="115">
        <f>+SUM(G198:G218)-L152-K151-K149</f>
        <v>17835.567103999987</v>
      </c>
    </row>
    <row r="155" spans="1:14" ht="31.5" customHeight="1" x14ac:dyDescent="0.25">
      <c r="A155" s="165" t="s">
        <v>633</v>
      </c>
      <c r="B155" s="31" t="s">
        <v>370</v>
      </c>
      <c r="C155" s="125">
        <v>0</v>
      </c>
      <c r="D155" s="125">
        <v>0</v>
      </c>
      <c r="E155" s="13">
        <v>365.88</v>
      </c>
      <c r="F155" s="32">
        <v>0</v>
      </c>
      <c r="G155" s="13">
        <f t="shared" si="4"/>
        <v>365.88</v>
      </c>
      <c r="H155" s="20" t="s">
        <v>432</v>
      </c>
      <c r="I155" s="20"/>
      <c r="K155" s="115">
        <f>+SUM(K149:K154)</f>
        <v>136458.09</v>
      </c>
      <c r="L155" s="115">
        <f>+L154+L152+K151+K149</f>
        <v>50346.439999999988</v>
      </c>
      <c r="M155" s="115"/>
    </row>
    <row r="156" spans="1:14" ht="31.5" customHeight="1" x14ac:dyDescent="0.25">
      <c r="A156" s="165" t="s">
        <v>634</v>
      </c>
      <c r="B156" s="31" t="s">
        <v>287</v>
      </c>
      <c r="C156" s="125">
        <v>0</v>
      </c>
      <c r="D156" s="125">
        <v>0</v>
      </c>
      <c r="E156" s="13">
        <v>677.05</v>
      </c>
      <c r="F156" s="32">
        <v>0</v>
      </c>
      <c r="G156" s="159">
        <f t="shared" ref="G156:G181" si="5">E156-F156</f>
        <v>677.05</v>
      </c>
      <c r="H156" s="20" t="s">
        <v>432</v>
      </c>
      <c r="I156" s="20"/>
      <c r="J156" s="115"/>
      <c r="K156" s="115">
        <f>+K154+K149</f>
        <v>45728.182024999987</v>
      </c>
      <c r="L156" s="115"/>
      <c r="M156" s="115"/>
    </row>
    <row r="157" spans="1:14" ht="31.5" customHeight="1" x14ac:dyDescent="0.25">
      <c r="A157" s="165" t="s">
        <v>635</v>
      </c>
      <c r="B157" s="31" t="s">
        <v>372</v>
      </c>
      <c r="C157" s="125">
        <v>0</v>
      </c>
      <c r="D157" s="125">
        <v>0</v>
      </c>
      <c r="E157" s="13">
        <v>0</v>
      </c>
      <c r="F157" s="32">
        <v>0</v>
      </c>
      <c r="G157" s="13">
        <f t="shared" si="5"/>
        <v>0</v>
      </c>
      <c r="H157" s="20" t="s">
        <v>875</v>
      </c>
      <c r="I157" s="20"/>
      <c r="J157" s="115"/>
      <c r="L157" s="115"/>
    </row>
    <row r="158" spans="1:14" ht="31.5" customHeight="1" x14ac:dyDescent="0.25">
      <c r="A158" s="165" t="s">
        <v>636</v>
      </c>
      <c r="B158" s="31" t="s">
        <v>288</v>
      </c>
      <c r="C158" s="125">
        <v>0</v>
      </c>
      <c r="D158" s="125">
        <v>0</v>
      </c>
      <c r="E158" s="13">
        <v>933.06</v>
      </c>
      <c r="F158" s="32">
        <v>0</v>
      </c>
      <c r="G158" s="13">
        <f t="shared" si="5"/>
        <v>933.06</v>
      </c>
      <c r="H158" s="163" t="s">
        <v>433</v>
      </c>
      <c r="I158" s="20"/>
    </row>
    <row r="159" spans="1:14" ht="31.5" customHeight="1" x14ac:dyDescent="0.25">
      <c r="A159" s="165" t="s">
        <v>637</v>
      </c>
      <c r="B159" s="31" t="s">
        <v>371</v>
      </c>
      <c r="C159" s="125">
        <v>0</v>
      </c>
      <c r="D159" s="125">
        <v>0</v>
      </c>
      <c r="E159" s="13">
        <v>0</v>
      </c>
      <c r="F159" s="32">
        <v>0</v>
      </c>
      <c r="G159" s="13">
        <f t="shared" si="5"/>
        <v>0</v>
      </c>
      <c r="H159" s="20" t="s">
        <v>876</v>
      </c>
      <c r="I159" s="20"/>
    </row>
    <row r="160" spans="1:14" ht="31.5" customHeight="1" x14ac:dyDescent="0.25">
      <c r="A160" s="165" t="s">
        <v>638</v>
      </c>
      <c r="B160" s="31" t="s">
        <v>373</v>
      </c>
      <c r="C160" s="125">
        <v>0</v>
      </c>
      <c r="D160" s="125">
        <v>0</v>
      </c>
      <c r="E160" s="13">
        <v>44299.55</v>
      </c>
      <c r="F160" s="32">
        <v>0</v>
      </c>
      <c r="G160" s="159">
        <f t="shared" si="5"/>
        <v>44299.55</v>
      </c>
      <c r="H160" s="163" t="s">
        <v>434</v>
      </c>
      <c r="I160" s="20"/>
      <c r="J160" s="115"/>
    </row>
    <row r="161" spans="1:10" ht="31.5" customHeight="1" x14ac:dyDescent="0.25">
      <c r="A161" s="165" t="s">
        <v>1041</v>
      </c>
      <c r="B161" s="31" t="s">
        <v>374</v>
      </c>
      <c r="C161" s="125">
        <v>0</v>
      </c>
      <c r="D161" s="125">
        <v>0</v>
      </c>
      <c r="E161" s="13">
        <v>932.91</v>
      </c>
      <c r="F161" s="32">
        <v>0</v>
      </c>
      <c r="G161" s="159">
        <f t="shared" si="5"/>
        <v>932.91</v>
      </c>
      <c r="H161" s="163" t="s">
        <v>434</v>
      </c>
      <c r="I161" s="20"/>
      <c r="J161" s="115"/>
    </row>
    <row r="162" spans="1:10" ht="31.5" customHeight="1" x14ac:dyDescent="0.25">
      <c r="A162" s="165" t="s">
        <v>903</v>
      </c>
      <c r="B162" s="31" t="s">
        <v>904</v>
      </c>
      <c r="C162" s="125">
        <v>0</v>
      </c>
      <c r="D162" s="125">
        <v>0</v>
      </c>
      <c r="E162" s="13">
        <v>0</v>
      </c>
      <c r="F162" s="32">
        <v>0</v>
      </c>
      <c r="G162" s="159">
        <f t="shared" si="5"/>
        <v>0</v>
      </c>
      <c r="H162" s="163" t="s">
        <v>905</v>
      </c>
      <c r="I162" s="20"/>
      <c r="J162" s="115"/>
    </row>
    <row r="163" spans="1:10" ht="31.5" customHeight="1" x14ac:dyDescent="0.25">
      <c r="A163" s="165" t="s">
        <v>639</v>
      </c>
      <c r="B163" s="31" t="s">
        <v>375</v>
      </c>
      <c r="C163" s="125">
        <v>0</v>
      </c>
      <c r="D163" s="125">
        <v>0</v>
      </c>
      <c r="E163" s="13">
        <v>15243.9</v>
      </c>
      <c r="F163" s="32">
        <v>0</v>
      </c>
      <c r="G163" s="13">
        <f t="shared" si="5"/>
        <v>15243.9</v>
      </c>
      <c r="H163" s="163" t="s">
        <v>435</v>
      </c>
      <c r="I163" s="20"/>
      <c r="J163" s="115"/>
    </row>
    <row r="164" spans="1:10" ht="31.5" customHeight="1" x14ac:dyDescent="0.25">
      <c r="A164" s="165" t="s">
        <v>1016</v>
      </c>
      <c r="B164" s="31" t="s">
        <v>1017</v>
      </c>
      <c r="C164" s="125">
        <v>0</v>
      </c>
      <c r="D164" s="125">
        <v>0</v>
      </c>
      <c r="E164" s="13">
        <v>1500</v>
      </c>
      <c r="F164" s="32">
        <v>0</v>
      </c>
      <c r="G164" s="13">
        <f t="shared" si="5"/>
        <v>1500</v>
      </c>
      <c r="H164" s="163" t="s">
        <v>435</v>
      </c>
      <c r="I164" s="20"/>
      <c r="J164" s="115"/>
    </row>
    <row r="165" spans="1:10" ht="31.5" customHeight="1" x14ac:dyDescent="0.25">
      <c r="A165" s="165" t="s">
        <v>640</v>
      </c>
      <c r="B165" s="31" t="s">
        <v>376</v>
      </c>
      <c r="C165" s="125">
        <v>0</v>
      </c>
      <c r="D165" s="125">
        <v>0</v>
      </c>
      <c r="E165" s="13">
        <v>1640</v>
      </c>
      <c r="F165" s="32">
        <v>0</v>
      </c>
      <c r="G165" s="13">
        <f t="shared" si="5"/>
        <v>1640</v>
      </c>
      <c r="H165" s="20" t="s">
        <v>436</v>
      </c>
      <c r="I165" s="20"/>
      <c r="J165" s="115"/>
    </row>
    <row r="166" spans="1:10" ht="31.5" customHeight="1" x14ac:dyDescent="0.25">
      <c r="A166" s="165" t="s">
        <v>757</v>
      </c>
      <c r="B166" s="31" t="s">
        <v>759</v>
      </c>
      <c r="C166" s="125">
        <v>0</v>
      </c>
      <c r="D166" s="125">
        <v>0</v>
      </c>
      <c r="E166" s="13">
        <v>249.44</v>
      </c>
      <c r="F166" s="32">
        <v>0</v>
      </c>
      <c r="G166" s="13">
        <f t="shared" si="5"/>
        <v>249.44</v>
      </c>
      <c r="H166" s="20" t="s">
        <v>436</v>
      </c>
      <c r="I166" s="20"/>
      <c r="J166" s="115"/>
    </row>
    <row r="167" spans="1:10" ht="31.5" customHeight="1" x14ac:dyDescent="0.25">
      <c r="A167" s="165" t="s">
        <v>758</v>
      </c>
      <c r="B167" s="31" t="s">
        <v>760</v>
      </c>
      <c r="C167" s="125">
        <v>0</v>
      </c>
      <c r="D167" s="125">
        <v>0</v>
      </c>
      <c r="E167" s="13">
        <v>37.409999999999997</v>
      </c>
      <c r="F167" s="32">
        <v>0</v>
      </c>
      <c r="G167" s="13">
        <f t="shared" si="5"/>
        <v>37.409999999999997</v>
      </c>
      <c r="H167" s="20" t="s">
        <v>436</v>
      </c>
      <c r="I167" s="41"/>
      <c r="J167" s="115"/>
    </row>
    <row r="168" spans="1:10" ht="31.5" customHeight="1" x14ac:dyDescent="0.25">
      <c r="A168" s="165" t="s">
        <v>641</v>
      </c>
      <c r="B168" s="31" t="s">
        <v>377</v>
      </c>
      <c r="C168" s="125">
        <v>0</v>
      </c>
      <c r="D168" s="125">
        <v>0</v>
      </c>
      <c r="E168" s="13">
        <v>1185.57</v>
      </c>
      <c r="F168" s="32">
        <v>0</v>
      </c>
      <c r="G168" s="13">
        <f t="shared" si="5"/>
        <v>1185.57</v>
      </c>
      <c r="H168" s="20" t="s">
        <v>437</v>
      </c>
      <c r="I168" s="20"/>
      <c r="J168" s="115"/>
    </row>
    <row r="169" spans="1:10" ht="31.5" customHeight="1" x14ac:dyDescent="0.25">
      <c r="A169" s="165" t="s">
        <v>761</v>
      </c>
      <c r="B169" s="31" t="s">
        <v>762</v>
      </c>
      <c r="C169" s="125">
        <v>0</v>
      </c>
      <c r="D169" s="125">
        <v>0</v>
      </c>
      <c r="E169" s="13">
        <v>4837.7299999999996</v>
      </c>
      <c r="F169" s="32">
        <v>0</v>
      </c>
      <c r="G169" s="13">
        <f t="shared" si="5"/>
        <v>4837.7299999999996</v>
      </c>
      <c r="H169" s="20" t="s">
        <v>436</v>
      </c>
      <c r="I169" s="20"/>
      <c r="J169" s="115"/>
    </row>
    <row r="170" spans="1:10" ht="31.5" customHeight="1" x14ac:dyDescent="0.25">
      <c r="A170" s="165" t="s">
        <v>847</v>
      </c>
      <c r="B170" s="31" t="s">
        <v>882</v>
      </c>
      <c r="C170" s="125">
        <v>0</v>
      </c>
      <c r="D170" s="125">
        <v>0</v>
      </c>
      <c r="E170" s="13">
        <v>0</v>
      </c>
      <c r="F170" s="32">
        <v>0</v>
      </c>
      <c r="G170" s="13">
        <f t="shared" si="5"/>
        <v>0</v>
      </c>
      <c r="H170" s="20" t="s">
        <v>848</v>
      </c>
      <c r="I170" s="20"/>
      <c r="J170" s="115"/>
    </row>
    <row r="171" spans="1:10" ht="31.5" customHeight="1" x14ac:dyDescent="0.25">
      <c r="A171" s="165" t="s">
        <v>880</v>
      </c>
      <c r="B171" s="31" t="s">
        <v>881</v>
      </c>
      <c r="C171" s="125">
        <v>0</v>
      </c>
      <c r="D171" s="125">
        <v>0</v>
      </c>
      <c r="E171" s="13">
        <v>368.34</v>
      </c>
      <c r="F171" s="32">
        <v>0</v>
      </c>
      <c r="G171" s="13">
        <f t="shared" si="5"/>
        <v>368.34</v>
      </c>
      <c r="H171" s="20" t="s">
        <v>848</v>
      </c>
      <c r="I171" s="20"/>
      <c r="J171" s="115"/>
    </row>
    <row r="172" spans="1:10" ht="31.5" customHeight="1" x14ac:dyDescent="0.25">
      <c r="A172" s="165" t="s">
        <v>643</v>
      </c>
      <c r="B172" s="31" t="s">
        <v>378</v>
      </c>
      <c r="C172" s="125">
        <v>0</v>
      </c>
      <c r="D172" s="125">
        <v>0</v>
      </c>
      <c r="E172" s="13">
        <v>0</v>
      </c>
      <c r="F172" s="32">
        <v>0</v>
      </c>
      <c r="G172" s="159">
        <f t="shared" si="5"/>
        <v>0</v>
      </c>
      <c r="H172" s="20" t="s">
        <v>438</v>
      </c>
      <c r="I172" s="20"/>
    </row>
    <row r="173" spans="1:10" ht="31.5" customHeight="1" x14ac:dyDescent="0.25">
      <c r="A173" s="165" t="s">
        <v>644</v>
      </c>
      <c r="B173" s="31" t="s">
        <v>379</v>
      </c>
      <c r="C173" s="125">
        <v>0</v>
      </c>
      <c r="D173" s="125">
        <v>0</v>
      </c>
      <c r="E173" s="13">
        <v>0</v>
      </c>
      <c r="F173" s="32">
        <v>0</v>
      </c>
      <c r="G173" s="159">
        <f t="shared" si="5"/>
        <v>0</v>
      </c>
      <c r="H173" s="20" t="s">
        <v>438</v>
      </c>
      <c r="I173" s="20"/>
    </row>
    <row r="174" spans="1:10" ht="31.5" customHeight="1" x14ac:dyDescent="0.25">
      <c r="A174" s="165" t="s">
        <v>645</v>
      </c>
      <c r="B174" s="31" t="s">
        <v>380</v>
      </c>
      <c r="C174" s="125">
        <v>0</v>
      </c>
      <c r="D174" s="125">
        <v>0</v>
      </c>
      <c r="E174" s="13">
        <v>0</v>
      </c>
      <c r="F174" s="32">
        <v>0</v>
      </c>
      <c r="G174" s="159">
        <f t="shared" si="5"/>
        <v>0</v>
      </c>
      <c r="H174" s="20" t="s">
        <v>438</v>
      </c>
      <c r="I174" s="20"/>
    </row>
    <row r="175" spans="1:10" ht="31.5" customHeight="1" x14ac:dyDescent="0.25">
      <c r="A175" s="165" t="s">
        <v>642</v>
      </c>
      <c r="B175" s="31" t="s">
        <v>381</v>
      </c>
      <c r="C175" s="125">
        <v>0</v>
      </c>
      <c r="D175" s="125">
        <v>0</v>
      </c>
      <c r="E175" s="13">
        <v>0</v>
      </c>
      <c r="F175" s="32">
        <v>0</v>
      </c>
      <c r="G175" s="159">
        <f t="shared" si="5"/>
        <v>0</v>
      </c>
      <c r="H175" s="20" t="s">
        <v>438</v>
      </c>
      <c r="I175" s="20"/>
      <c r="J175" s="115"/>
    </row>
    <row r="176" spans="1:10" ht="31.5" customHeight="1" x14ac:dyDescent="0.25">
      <c r="A176" s="165" t="s">
        <v>646</v>
      </c>
      <c r="B176" s="31" t="s">
        <v>382</v>
      </c>
      <c r="C176" s="125">
        <v>0</v>
      </c>
      <c r="D176" s="125">
        <v>0</v>
      </c>
      <c r="E176" s="13">
        <v>218.18</v>
      </c>
      <c r="F176" s="32">
        <v>0</v>
      </c>
      <c r="G176" s="128">
        <f t="shared" si="5"/>
        <v>218.18</v>
      </c>
      <c r="H176" s="20" t="s">
        <v>438</v>
      </c>
      <c r="I176" s="20"/>
    </row>
    <row r="177" spans="1:11" ht="31.5" customHeight="1" x14ac:dyDescent="0.25">
      <c r="A177" s="170" t="s">
        <v>647</v>
      </c>
      <c r="B177" s="155" t="s">
        <v>1033</v>
      </c>
      <c r="C177" s="125">
        <v>0</v>
      </c>
      <c r="D177" s="125">
        <v>0</v>
      </c>
      <c r="E177" s="13">
        <v>0</v>
      </c>
      <c r="F177" s="32">
        <v>0</v>
      </c>
      <c r="G177" s="159">
        <f t="shared" si="5"/>
        <v>0</v>
      </c>
      <c r="H177" s="156" t="s">
        <v>438</v>
      </c>
      <c r="I177" s="20"/>
    </row>
    <row r="178" spans="1:11" ht="31.5" customHeight="1" x14ac:dyDescent="0.25">
      <c r="A178" s="170" t="s">
        <v>648</v>
      </c>
      <c r="B178" s="155" t="s">
        <v>383</v>
      </c>
      <c r="C178" s="125">
        <v>0</v>
      </c>
      <c r="D178" s="125">
        <v>0</v>
      </c>
      <c r="E178" s="13">
        <v>0</v>
      </c>
      <c r="F178" s="32">
        <v>0</v>
      </c>
      <c r="G178" s="128">
        <f t="shared" si="5"/>
        <v>0</v>
      </c>
      <c r="H178" s="20" t="s">
        <v>438</v>
      </c>
      <c r="I178" s="20"/>
    </row>
    <row r="179" spans="1:11" ht="31.5" customHeight="1" x14ac:dyDescent="0.25">
      <c r="A179" s="165" t="s">
        <v>649</v>
      </c>
      <c r="B179" s="31" t="s">
        <v>384</v>
      </c>
      <c r="C179" s="125">
        <v>0</v>
      </c>
      <c r="D179" s="125">
        <v>0</v>
      </c>
      <c r="E179" s="13">
        <v>0</v>
      </c>
      <c r="F179" s="32">
        <v>0</v>
      </c>
      <c r="G179" s="159">
        <f t="shared" si="5"/>
        <v>0</v>
      </c>
      <c r="H179" s="20" t="s">
        <v>438</v>
      </c>
      <c r="I179" s="20"/>
    </row>
    <row r="180" spans="1:11" ht="31.5" customHeight="1" x14ac:dyDescent="0.25">
      <c r="A180" s="165" t="s">
        <v>1034</v>
      </c>
      <c r="B180" s="31" t="s">
        <v>1035</v>
      </c>
      <c r="C180" s="125">
        <v>0</v>
      </c>
      <c r="D180" s="125">
        <v>0</v>
      </c>
      <c r="E180" s="13">
        <v>0</v>
      </c>
      <c r="F180" s="32">
        <v>0</v>
      </c>
      <c r="G180" s="159">
        <f t="shared" si="5"/>
        <v>0</v>
      </c>
      <c r="H180" s="20" t="s">
        <v>438</v>
      </c>
      <c r="I180" s="20" t="s">
        <v>1065</v>
      </c>
      <c r="J180" s="115">
        <f>+G180+G187</f>
        <v>0</v>
      </c>
      <c r="K180" s="115"/>
    </row>
    <row r="181" spans="1:11" ht="31.5" customHeight="1" x14ac:dyDescent="0.25">
      <c r="A181" s="165" t="s">
        <v>650</v>
      </c>
      <c r="B181" s="31" t="s">
        <v>363</v>
      </c>
      <c r="C181" s="125">
        <v>0</v>
      </c>
      <c r="D181" s="125">
        <v>0</v>
      </c>
      <c r="E181" s="13">
        <v>45</v>
      </c>
      <c r="F181" s="32">
        <v>0</v>
      </c>
      <c r="G181" s="13">
        <f t="shared" si="5"/>
        <v>45</v>
      </c>
      <c r="H181" s="20" t="s">
        <v>439</v>
      </c>
      <c r="I181" s="20"/>
      <c r="K181" s="115"/>
    </row>
    <row r="182" spans="1:11" ht="31.5" customHeight="1" x14ac:dyDescent="0.25">
      <c r="A182" s="165" t="s">
        <v>651</v>
      </c>
      <c r="B182" s="31" t="s">
        <v>289</v>
      </c>
      <c r="C182" s="125">
        <v>0</v>
      </c>
      <c r="D182" s="125">
        <v>0</v>
      </c>
      <c r="E182" s="13">
        <v>3127.19</v>
      </c>
      <c r="F182" s="32">
        <v>34.33</v>
      </c>
      <c r="G182" s="13">
        <f t="shared" ref="G182:G187" si="6">E182-F182</f>
        <v>3092.86</v>
      </c>
      <c r="H182" s="20" t="s">
        <v>439</v>
      </c>
      <c r="I182" s="20"/>
    </row>
    <row r="183" spans="1:11" ht="31.5" customHeight="1" x14ac:dyDescent="0.25">
      <c r="A183" s="165" t="s">
        <v>652</v>
      </c>
      <c r="B183" s="31" t="s">
        <v>385</v>
      </c>
      <c r="C183" s="125">
        <v>0</v>
      </c>
      <c r="D183" s="125">
        <v>0</v>
      </c>
      <c r="E183" s="13">
        <v>150</v>
      </c>
      <c r="F183" s="32">
        <v>0</v>
      </c>
      <c r="G183" s="13">
        <f t="shared" si="6"/>
        <v>150</v>
      </c>
      <c r="H183" s="20" t="s">
        <v>439</v>
      </c>
      <c r="I183" s="20"/>
    </row>
    <row r="184" spans="1:11" ht="31.5" customHeight="1" x14ac:dyDescent="0.25">
      <c r="A184" s="165" t="s">
        <v>653</v>
      </c>
      <c r="B184" s="31" t="s">
        <v>295</v>
      </c>
      <c r="C184" s="125">
        <v>0</v>
      </c>
      <c r="D184" s="125">
        <v>0</v>
      </c>
      <c r="E184" s="13">
        <v>0</v>
      </c>
      <c r="F184" s="32">
        <v>0</v>
      </c>
      <c r="G184" s="13">
        <f t="shared" si="6"/>
        <v>0</v>
      </c>
      <c r="H184" s="20" t="s">
        <v>439</v>
      </c>
      <c r="I184" s="20"/>
    </row>
    <row r="185" spans="1:11" ht="31.5" customHeight="1" x14ac:dyDescent="0.25">
      <c r="A185" s="165" t="s">
        <v>654</v>
      </c>
      <c r="B185" s="31" t="s">
        <v>386</v>
      </c>
      <c r="C185" s="125">
        <v>0</v>
      </c>
      <c r="D185" s="125">
        <v>0</v>
      </c>
      <c r="E185" s="13">
        <v>105.9</v>
      </c>
      <c r="F185" s="32">
        <v>0</v>
      </c>
      <c r="G185" s="13">
        <f t="shared" si="6"/>
        <v>105.9</v>
      </c>
      <c r="H185" s="20" t="s">
        <v>439</v>
      </c>
      <c r="I185" s="20"/>
    </row>
    <row r="186" spans="1:11" ht="31.5" customHeight="1" x14ac:dyDescent="0.25">
      <c r="A186" s="165" t="s">
        <v>655</v>
      </c>
      <c r="B186" s="31" t="s">
        <v>387</v>
      </c>
      <c r="C186" s="125">
        <v>0</v>
      </c>
      <c r="D186" s="125">
        <v>0</v>
      </c>
      <c r="E186" s="13">
        <v>0</v>
      </c>
      <c r="F186" s="32">
        <v>0</v>
      </c>
      <c r="G186" s="13">
        <f t="shared" si="6"/>
        <v>0</v>
      </c>
      <c r="H186" s="20" t="s">
        <v>439</v>
      </c>
      <c r="I186" s="20"/>
    </row>
    <row r="187" spans="1:11" ht="31.5" customHeight="1" x14ac:dyDescent="0.25">
      <c r="A187" s="165" t="s">
        <v>656</v>
      </c>
      <c r="B187" s="31" t="s">
        <v>388</v>
      </c>
      <c r="C187" s="125">
        <v>0</v>
      </c>
      <c r="D187" s="125">
        <v>0</v>
      </c>
      <c r="E187" s="13">
        <v>0</v>
      </c>
      <c r="F187" s="32">
        <v>0</v>
      </c>
      <c r="G187" s="13">
        <f t="shared" si="6"/>
        <v>0</v>
      </c>
      <c r="H187" s="20" t="s">
        <v>439</v>
      </c>
      <c r="I187" s="20"/>
    </row>
    <row r="188" spans="1:11" ht="31.5" customHeight="1" x14ac:dyDescent="0.25">
      <c r="A188" s="165" t="s">
        <v>657</v>
      </c>
      <c r="B188" s="31" t="s">
        <v>893</v>
      </c>
      <c r="C188" s="125">
        <v>0</v>
      </c>
      <c r="D188" s="125">
        <v>0</v>
      </c>
      <c r="E188" s="13">
        <v>233.47</v>
      </c>
      <c r="F188" s="32">
        <v>0</v>
      </c>
      <c r="G188" s="13">
        <f t="shared" ref="G188:G191" si="7">E188-F188</f>
        <v>233.47</v>
      </c>
      <c r="H188" s="20" t="s">
        <v>439</v>
      </c>
      <c r="I188" s="20"/>
    </row>
    <row r="189" spans="1:11" ht="31.5" customHeight="1" x14ac:dyDescent="0.25">
      <c r="A189" s="165" t="s">
        <v>658</v>
      </c>
      <c r="B189" s="31" t="s">
        <v>290</v>
      </c>
      <c r="C189" s="125">
        <v>0</v>
      </c>
      <c r="D189" s="125">
        <v>0</v>
      </c>
      <c r="E189" s="13">
        <v>148.03</v>
      </c>
      <c r="F189" s="32">
        <v>0</v>
      </c>
      <c r="G189" s="13">
        <f t="shared" si="7"/>
        <v>148.03</v>
      </c>
      <c r="H189" s="163" t="s">
        <v>439</v>
      </c>
      <c r="I189" s="20"/>
    </row>
    <row r="190" spans="1:11" ht="31.5" customHeight="1" x14ac:dyDescent="0.25">
      <c r="A190" s="165" t="s">
        <v>659</v>
      </c>
      <c r="B190" s="31" t="s">
        <v>389</v>
      </c>
      <c r="C190" s="125">
        <v>0</v>
      </c>
      <c r="D190" s="125">
        <v>0</v>
      </c>
      <c r="E190" s="13">
        <v>324.02</v>
      </c>
      <c r="F190" s="32">
        <v>0</v>
      </c>
      <c r="G190" s="13">
        <f t="shared" si="7"/>
        <v>324.02</v>
      </c>
      <c r="H190" s="20" t="s">
        <v>439</v>
      </c>
      <c r="I190" s="20"/>
    </row>
    <row r="191" spans="1:11" ht="31.5" customHeight="1" x14ac:dyDescent="0.25">
      <c r="A191" s="165" t="s">
        <v>660</v>
      </c>
      <c r="B191" s="31" t="s">
        <v>390</v>
      </c>
      <c r="C191" s="125">
        <v>0</v>
      </c>
      <c r="D191" s="125">
        <v>0</v>
      </c>
      <c r="E191" s="13">
        <v>0</v>
      </c>
      <c r="F191" s="32">
        <v>0</v>
      </c>
      <c r="G191" s="13">
        <f t="shared" si="7"/>
        <v>0</v>
      </c>
      <c r="H191" s="20" t="s">
        <v>439</v>
      </c>
      <c r="I191" s="20"/>
    </row>
    <row r="192" spans="1:11" ht="31.5" customHeight="1" x14ac:dyDescent="0.25">
      <c r="A192" s="165" t="s">
        <v>661</v>
      </c>
      <c r="B192" s="31" t="s">
        <v>391</v>
      </c>
      <c r="C192" s="125">
        <v>0</v>
      </c>
      <c r="D192" s="125">
        <v>0</v>
      </c>
      <c r="E192" s="13">
        <v>0</v>
      </c>
      <c r="F192" s="32">
        <v>0</v>
      </c>
      <c r="G192" s="13">
        <f t="shared" ref="G192:G198" si="8">E192-F192</f>
        <v>0</v>
      </c>
      <c r="H192" s="20" t="s">
        <v>439</v>
      </c>
      <c r="I192" s="20"/>
      <c r="J192" s="115"/>
    </row>
    <row r="193" spans="1:10" ht="31.5" customHeight="1" x14ac:dyDescent="0.25">
      <c r="A193" s="165" t="s">
        <v>662</v>
      </c>
      <c r="B193" s="31" t="s">
        <v>392</v>
      </c>
      <c r="C193" s="125">
        <v>0</v>
      </c>
      <c r="D193" s="125">
        <v>0</v>
      </c>
      <c r="E193" s="13">
        <v>0</v>
      </c>
      <c r="F193" s="32">
        <v>0</v>
      </c>
      <c r="G193" s="13">
        <f t="shared" si="8"/>
        <v>0</v>
      </c>
      <c r="H193" s="20" t="s">
        <v>440</v>
      </c>
      <c r="I193" s="20"/>
    </row>
    <row r="194" spans="1:10" ht="31.5" customHeight="1" x14ac:dyDescent="0.25">
      <c r="A194" s="165" t="s">
        <v>663</v>
      </c>
      <c r="B194" s="31" t="s">
        <v>393</v>
      </c>
      <c r="C194" s="125">
        <v>0</v>
      </c>
      <c r="D194" s="125">
        <v>0</v>
      </c>
      <c r="E194" s="13">
        <v>1055.26</v>
      </c>
      <c r="F194" s="32">
        <v>0</v>
      </c>
      <c r="G194" s="13">
        <f t="shared" si="8"/>
        <v>1055.26</v>
      </c>
      <c r="H194" s="20" t="s">
        <v>440</v>
      </c>
      <c r="I194" s="20"/>
    </row>
    <row r="195" spans="1:10" ht="31.5" customHeight="1" x14ac:dyDescent="0.25">
      <c r="A195" s="165" t="s">
        <v>1073</v>
      </c>
      <c r="B195" s="31" t="s">
        <v>849</v>
      </c>
      <c r="C195" s="125">
        <v>0</v>
      </c>
      <c r="D195" s="125">
        <v>0</v>
      </c>
      <c r="E195" s="13">
        <v>0</v>
      </c>
      <c r="F195" s="32">
        <v>0</v>
      </c>
      <c r="G195" s="13">
        <f t="shared" si="8"/>
        <v>0</v>
      </c>
      <c r="H195" s="20" t="s">
        <v>443</v>
      </c>
      <c r="I195" s="20"/>
    </row>
    <row r="196" spans="1:10" ht="31.5" customHeight="1" x14ac:dyDescent="0.25">
      <c r="A196" s="165" t="s">
        <v>664</v>
      </c>
      <c r="B196" s="31" t="str">
        <f>[1]Sheet1!$H$302</f>
        <v>rezervisanja za penzije,jubilarne nagrade i otpremnine povodom penzionisanja</v>
      </c>
      <c r="C196" s="125">
        <v>0</v>
      </c>
      <c r="D196" s="125">
        <v>0</v>
      </c>
      <c r="E196" s="13">
        <v>0</v>
      </c>
      <c r="F196" s="32">
        <v>0</v>
      </c>
      <c r="G196" s="13">
        <f>E196-F196</f>
        <v>0</v>
      </c>
      <c r="H196" s="20" t="s">
        <v>837</v>
      </c>
      <c r="I196" s="20"/>
    </row>
    <row r="197" spans="1:10" ht="31.5" customHeight="1" x14ac:dyDescent="0.25">
      <c r="A197" s="165" t="s">
        <v>1020</v>
      </c>
      <c r="B197" s="31" t="s">
        <v>1021</v>
      </c>
      <c r="C197" s="125">
        <v>0</v>
      </c>
      <c r="D197" s="125">
        <v>0</v>
      </c>
      <c r="E197" s="13">
        <v>0</v>
      </c>
      <c r="F197" s="32">
        <v>0</v>
      </c>
      <c r="G197" s="13">
        <f>E197-F197</f>
        <v>0</v>
      </c>
      <c r="H197" s="20" t="s">
        <v>1022</v>
      </c>
      <c r="I197" s="20"/>
      <c r="J197" s="115"/>
    </row>
    <row r="198" spans="1:10" ht="31.5" customHeight="1" x14ac:dyDescent="0.25">
      <c r="A198" s="165" t="s">
        <v>665</v>
      </c>
      <c r="B198" s="31" t="s">
        <v>394</v>
      </c>
      <c r="C198" s="125">
        <v>0</v>
      </c>
      <c r="D198" s="125">
        <v>0</v>
      </c>
      <c r="E198" s="13">
        <v>29788.16</v>
      </c>
      <c r="F198" s="32">
        <v>0</v>
      </c>
      <c r="G198" s="13">
        <f t="shared" si="8"/>
        <v>29788.16</v>
      </c>
      <c r="H198" s="163" t="s">
        <v>441</v>
      </c>
      <c r="I198" s="20"/>
    </row>
    <row r="199" spans="1:10" ht="31.5" customHeight="1" x14ac:dyDescent="0.25">
      <c r="A199" s="165" t="s">
        <v>666</v>
      </c>
      <c r="B199" s="31" t="s">
        <v>395</v>
      </c>
      <c r="C199" s="125">
        <v>0</v>
      </c>
      <c r="D199" s="125">
        <v>0</v>
      </c>
      <c r="E199" s="13">
        <v>0</v>
      </c>
      <c r="F199" s="32">
        <v>0</v>
      </c>
      <c r="G199" s="13">
        <f t="shared" ref="G199:G211" si="9">E199-F199</f>
        <v>0</v>
      </c>
      <c r="H199" s="163" t="s">
        <v>441</v>
      </c>
      <c r="I199" s="20"/>
    </row>
    <row r="200" spans="1:10" ht="31.5" customHeight="1" x14ac:dyDescent="0.25">
      <c r="A200" s="165" t="s">
        <v>667</v>
      </c>
      <c r="B200" s="35" t="s">
        <v>396</v>
      </c>
      <c r="C200" s="125">
        <v>0</v>
      </c>
      <c r="D200" s="125">
        <v>0</v>
      </c>
      <c r="E200" s="13">
        <v>6710.53</v>
      </c>
      <c r="F200" s="32">
        <v>0</v>
      </c>
      <c r="G200" s="13">
        <f t="shared" si="9"/>
        <v>6710.53</v>
      </c>
      <c r="H200" s="163" t="s">
        <v>442</v>
      </c>
      <c r="I200" s="20"/>
    </row>
    <row r="201" spans="1:10" ht="31.5" customHeight="1" x14ac:dyDescent="0.25">
      <c r="A201" s="165" t="s">
        <v>668</v>
      </c>
      <c r="B201" s="35" t="s">
        <v>397</v>
      </c>
      <c r="C201" s="125">
        <v>0</v>
      </c>
      <c r="D201" s="125">
        <v>0</v>
      </c>
      <c r="E201" s="13">
        <v>3618</v>
      </c>
      <c r="F201" s="32">
        <v>0</v>
      </c>
      <c r="G201" s="13">
        <f t="shared" si="9"/>
        <v>3618</v>
      </c>
      <c r="H201" s="163" t="s">
        <v>442</v>
      </c>
      <c r="I201" s="20"/>
    </row>
    <row r="202" spans="1:10" ht="31.5" customHeight="1" x14ac:dyDescent="0.25">
      <c r="A202" s="165" t="s">
        <v>669</v>
      </c>
      <c r="B202" s="35" t="s">
        <v>398</v>
      </c>
      <c r="C202" s="125">
        <v>0</v>
      </c>
      <c r="D202" s="125">
        <v>0</v>
      </c>
      <c r="E202" s="13">
        <v>212.88</v>
      </c>
      <c r="F202" s="32">
        <v>0</v>
      </c>
      <c r="G202" s="13">
        <f t="shared" si="9"/>
        <v>212.88</v>
      </c>
      <c r="H202" s="163" t="s">
        <v>442</v>
      </c>
      <c r="I202" s="20"/>
    </row>
    <row r="203" spans="1:10" ht="31.5" customHeight="1" x14ac:dyDescent="0.25">
      <c r="A203" s="165" t="s">
        <v>670</v>
      </c>
      <c r="B203" s="92" t="s">
        <v>671</v>
      </c>
      <c r="C203" s="125">
        <v>0</v>
      </c>
      <c r="D203" s="125">
        <v>0</v>
      </c>
      <c r="E203" s="13">
        <v>0</v>
      </c>
      <c r="F203" s="32">
        <v>0</v>
      </c>
      <c r="G203" s="13">
        <f t="shared" si="9"/>
        <v>0</v>
      </c>
      <c r="H203" s="163" t="s">
        <v>442</v>
      </c>
      <c r="I203" s="20"/>
    </row>
    <row r="204" spans="1:10" ht="31.5" customHeight="1" x14ac:dyDescent="0.25">
      <c r="A204" s="165" t="s">
        <v>672</v>
      </c>
      <c r="B204" s="92" t="s">
        <v>673</v>
      </c>
      <c r="C204" s="125">
        <v>0</v>
      </c>
      <c r="D204" s="125">
        <v>0</v>
      </c>
      <c r="E204" s="13">
        <v>0</v>
      </c>
      <c r="F204" s="32">
        <v>0</v>
      </c>
      <c r="G204" s="13">
        <f t="shared" si="9"/>
        <v>0</v>
      </c>
      <c r="H204" s="163" t="s">
        <v>442</v>
      </c>
      <c r="I204" s="20"/>
    </row>
    <row r="205" spans="1:10" ht="31.5" customHeight="1" x14ac:dyDescent="0.25">
      <c r="A205" s="165" t="s">
        <v>674</v>
      </c>
      <c r="B205" s="92" t="s">
        <v>675</v>
      </c>
      <c r="C205" s="125">
        <v>0</v>
      </c>
      <c r="D205" s="125">
        <v>0</v>
      </c>
      <c r="E205" s="13">
        <v>0</v>
      </c>
      <c r="F205" s="32">
        <v>0</v>
      </c>
      <c r="G205" s="13">
        <f t="shared" si="9"/>
        <v>0</v>
      </c>
      <c r="H205" s="163" t="s">
        <v>442</v>
      </c>
      <c r="I205" s="20"/>
    </row>
    <row r="206" spans="1:10" ht="31.5" customHeight="1" x14ac:dyDescent="0.25">
      <c r="A206" s="165" t="s">
        <v>676</v>
      </c>
      <c r="B206" s="35" t="s">
        <v>399</v>
      </c>
      <c r="C206" s="125">
        <v>0</v>
      </c>
      <c r="D206" s="125">
        <v>0</v>
      </c>
      <c r="E206" s="13">
        <v>2460.5700000000002</v>
      </c>
      <c r="F206" s="32">
        <v>0</v>
      </c>
      <c r="G206" s="13">
        <f t="shared" si="9"/>
        <v>2460.5700000000002</v>
      </c>
      <c r="H206" s="163" t="s">
        <v>442</v>
      </c>
      <c r="I206" s="20"/>
    </row>
    <row r="207" spans="1:10" ht="31.5" customHeight="1" x14ac:dyDescent="0.25">
      <c r="A207" s="165" t="s">
        <v>677</v>
      </c>
      <c r="B207" s="35" t="s">
        <v>400</v>
      </c>
      <c r="C207" s="125">
        <v>0</v>
      </c>
      <c r="D207" s="125">
        <v>0</v>
      </c>
      <c r="E207" s="13">
        <v>1830.14</v>
      </c>
      <c r="F207" s="32">
        <v>0</v>
      </c>
      <c r="G207" s="13">
        <f t="shared" si="9"/>
        <v>1830.14</v>
      </c>
      <c r="H207" s="163" t="s">
        <v>442</v>
      </c>
      <c r="I207" s="20"/>
    </row>
    <row r="208" spans="1:10" ht="31.5" customHeight="1" x14ac:dyDescent="0.25">
      <c r="A208" s="165" t="s">
        <v>678</v>
      </c>
      <c r="B208" s="35" t="s">
        <v>401</v>
      </c>
      <c r="C208" s="125">
        <v>0</v>
      </c>
      <c r="D208" s="125">
        <v>0</v>
      </c>
      <c r="E208" s="13">
        <v>212.88</v>
      </c>
      <c r="F208" s="32">
        <v>0</v>
      </c>
      <c r="G208" s="13">
        <f t="shared" si="9"/>
        <v>212.88</v>
      </c>
      <c r="H208" s="163" t="s">
        <v>442</v>
      </c>
      <c r="I208" s="20"/>
    </row>
    <row r="209" spans="1:10" ht="31.5" customHeight="1" x14ac:dyDescent="0.25">
      <c r="A209" s="165" t="s">
        <v>679</v>
      </c>
      <c r="B209" s="92" t="s">
        <v>682</v>
      </c>
      <c r="C209" s="125">
        <v>0</v>
      </c>
      <c r="D209" s="125">
        <v>0</v>
      </c>
      <c r="E209" s="13">
        <v>0</v>
      </c>
      <c r="F209" s="32">
        <v>0</v>
      </c>
      <c r="G209" s="13">
        <f t="shared" si="9"/>
        <v>0</v>
      </c>
      <c r="H209" s="163" t="s">
        <v>442</v>
      </c>
      <c r="I209" s="20"/>
    </row>
    <row r="210" spans="1:10" ht="31.5" customHeight="1" x14ac:dyDescent="0.25">
      <c r="A210" s="165" t="s">
        <v>680</v>
      </c>
      <c r="B210" s="92" t="s">
        <v>683</v>
      </c>
      <c r="C210" s="125">
        <v>0</v>
      </c>
      <c r="D210" s="125">
        <v>0</v>
      </c>
      <c r="E210" s="13">
        <v>0</v>
      </c>
      <c r="F210" s="32">
        <v>0</v>
      </c>
      <c r="G210" s="13">
        <f t="shared" si="9"/>
        <v>0</v>
      </c>
      <c r="H210" s="163" t="s">
        <v>442</v>
      </c>
      <c r="I210" s="20"/>
    </row>
    <row r="211" spans="1:10" ht="31.5" customHeight="1" x14ac:dyDescent="0.25">
      <c r="A211" s="165" t="s">
        <v>681</v>
      </c>
      <c r="B211" s="92" t="s">
        <v>684</v>
      </c>
      <c r="C211" s="125">
        <v>0</v>
      </c>
      <c r="D211" s="125">
        <v>0</v>
      </c>
      <c r="E211" s="13">
        <v>0</v>
      </c>
      <c r="F211" s="32">
        <v>0</v>
      </c>
      <c r="G211" s="13">
        <f t="shared" si="9"/>
        <v>0</v>
      </c>
      <c r="H211" s="163" t="s">
        <v>442</v>
      </c>
      <c r="I211" s="20"/>
    </row>
    <row r="212" spans="1:10" ht="31.5" customHeight="1" x14ac:dyDescent="0.25">
      <c r="A212" s="165" t="s">
        <v>685</v>
      </c>
      <c r="B212" s="35" t="s">
        <v>408</v>
      </c>
      <c r="C212" s="125">
        <v>0</v>
      </c>
      <c r="D212" s="125">
        <v>0</v>
      </c>
      <c r="E212" s="13">
        <v>162.47999999999999</v>
      </c>
      <c r="F212" s="32">
        <v>0</v>
      </c>
      <c r="G212" s="13">
        <f t="shared" ref="G212:G215" si="10">E212-F212</f>
        <v>162.47999999999999</v>
      </c>
      <c r="H212" s="163" t="s">
        <v>442</v>
      </c>
      <c r="I212" s="20"/>
    </row>
    <row r="213" spans="1:10" ht="31.5" customHeight="1" x14ac:dyDescent="0.25">
      <c r="A213" s="165" t="s">
        <v>686</v>
      </c>
      <c r="B213" s="35" t="s">
        <v>407</v>
      </c>
      <c r="C213" s="125">
        <v>0</v>
      </c>
      <c r="D213" s="125">
        <v>0</v>
      </c>
      <c r="E213" s="13">
        <v>85.09</v>
      </c>
      <c r="F213" s="32">
        <v>0</v>
      </c>
      <c r="G213" s="13">
        <f t="shared" si="10"/>
        <v>85.09</v>
      </c>
      <c r="H213" s="163" t="s">
        <v>442</v>
      </c>
      <c r="I213" s="20"/>
    </row>
    <row r="214" spans="1:10" ht="31.5" customHeight="1" x14ac:dyDescent="0.25">
      <c r="A214" s="165" t="s">
        <v>687</v>
      </c>
      <c r="B214" s="35" t="s">
        <v>409</v>
      </c>
      <c r="C214" s="125">
        <v>0</v>
      </c>
      <c r="D214" s="125">
        <v>0</v>
      </c>
      <c r="E214" s="13">
        <v>85.09</v>
      </c>
      <c r="F214" s="32">
        <v>0</v>
      </c>
      <c r="G214" s="13">
        <f t="shared" si="10"/>
        <v>85.09</v>
      </c>
      <c r="H214" s="163" t="s">
        <v>442</v>
      </c>
      <c r="I214" s="20"/>
    </row>
    <row r="215" spans="1:10" ht="31.5" customHeight="1" x14ac:dyDescent="0.25">
      <c r="A215" s="165" t="s">
        <v>688</v>
      </c>
      <c r="B215" s="35" t="s">
        <v>410</v>
      </c>
      <c r="C215" s="125">
        <v>0</v>
      </c>
      <c r="D215" s="125">
        <v>0</v>
      </c>
      <c r="E215" s="13">
        <v>112.65</v>
      </c>
      <c r="F215" s="32">
        <v>0</v>
      </c>
      <c r="G215" s="13">
        <f t="shared" si="10"/>
        <v>112.65</v>
      </c>
      <c r="H215" s="163" t="s">
        <v>442</v>
      </c>
      <c r="I215" s="20"/>
    </row>
    <row r="216" spans="1:10" ht="31.5" customHeight="1" x14ac:dyDescent="0.25">
      <c r="A216" s="165" t="s">
        <v>689</v>
      </c>
      <c r="B216" s="31" t="s">
        <v>402</v>
      </c>
      <c r="C216" s="125">
        <v>0</v>
      </c>
      <c r="D216" s="125">
        <v>0</v>
      </c>
      <c r="E216" s="13">
        <v>661.02</v>
      </c>
      <c r="F216" s="32">
        <v>0</v>
      </c>
      <c r="G216" s="13">
        <f>E216-F216</f>
        <v>661.02</v>
      </c>
      <c r="H216" s="163" t="s">
        <v>442</v>
      </c>
      <c r="I216" s="20"/>
    </row>
    <row r="217" spans="1:10" ht="31.5" customHeight="1" x14ac:dyDescent="0.25">
      <c r="A217" s="165" t="s">
        <v>690</v>
      </c>
      <c r="B217" s="31" t="s">
        <v>403</v>
      </c>
      <c r="C217" s="125">
        <v>0</v>
      </c>
      <c r="D217" s="125">
        <v>0</v>
      </c>
      <c r="E217" s="13">
        <v>4406.95</v>
      </c>
      <c r="F217" s="32">
        <v>0</v>
      </c>
      <c r="G217" s="13">
        <f>E217-F217</f>
        <v>4406.95</v>
      </c>
      <c r="H217" s="163" t="s">
        <v>442</v>
      </c>
      <c r="I217" s="20"/>
    </row>
    <row r="218" spans="1:10" ht="31.5" customHeight="1" x14ac:dyDescent="0.25">
      <c r="A218" s="165" t="s">
        <v>691</v>
      </c>
      <c r="B218" s="31" t="s">
        <v>404</v>
      </c>
      <c r="C218" s="125">
        <v>0</v>
      </c>
      <c r="D218" s="125">
        <v>0</v>
      </c>
      <c r="E218" s="13">
        <v>0</v>
      </c>
      <c r="F218" s="32">
        <v>0</v>
      </c>
      <c r="G218" s="13">
        <f t="shared" ref="G218:G219" si="11">E218-F218</f>
        <v>0</v>
      </c>
      <c r="H218" s="163" t="s">
        <v>442</v>
      </c>
      <c r="I218" s="20"/>
      <c r="J218" s="115"/>
    </row>
    <row r="219" spans="1:10" ht="31.5" customHeight="1" x14ac:dyDescent="0.25">
      <c r="A219" s="165" t="s">
        <v>794</v>
      </c>
      <c r="B219" s="31" t="s">
        <v>799</v>
      </c>
      <c r="C219" s="125">
        <v>0</v>
      </c>
      <c r="D219" s="125">
        <v>0</v>
      </c>
      <c r="E219" s="13">
        <v>0</v>
      </c>
      <c r="F219" s="32">
        <v>0</v>
      </c>
      <c r="G219" s="13">
        <f t="shared" si="11"/>
        <v>0</v>
      </c>
      <c r="H219" s="163" t="s">
        <v>443</v>
      </c>
      <c r="I219" s="20"/>
    </row>
    <row r="220" spans="1:10" ht="31.5" customHeight="1" x14ac:dyDescent="0.25">
      <c r="A220" s="165" t="s">
        <v>692</v>
      </c>
      <c r="B220" s="31" t="s">
        <v>405</v>
      </c>
      <c r="C220" s="125">
        <v>0</v>
      </c>
      <c r="D220" s="125">
        <v>0</v>
      </c>
      <c r="E220" s="13">
        <v>3000</v>
      </c>
      <c r="F220" s="32">
        <v>0</v>
      </c>
      <c r="G220" s="159">
        <f t="shared" ref="G220:G231" si="12">E220-F220</f>
        <v>3000</v>
      </c>
      <c r="H220" s="20" t="s">
        <v>443</v>
      </c>
      <c r="I220" s="20"/>
      <c r="J220" s="115"/>
    </row>
    <row r="221" spans="1:10" ht="31.5" customHeight="1" x14ac:dyDescent="0.25">
      <c r="A221" s="165" t="s">
        <v>693</v>
      </c>
      <c r="B221" s="31" t="s">
        <v>406</v>
      </c>
      <c r="C221" s="125">
        <v>0</v>
      </c>
      <c r="D221" s="125">
        <v>0</v>
      </c>
      <c r="E221" s="13">
        <v>937.33</v>
      </c>
      <c r="F221" s="32">
        <v>0</v>
      </c>
      <c r="G221" s="13">
        <f t="shared" si="12"/>
        <v>937.33</v>
      </c>
      <c r="H221" s="20" t="s">
        <v>443</v>
      </c>
      <c r="I221" s="20"/>
    </row>
    <row r="222" spans="1:10" ht="31.5" customHeight="1" x14ac:dyDescent="0.25">
      <c r="A222" s="165" t="s">
        <v>694</v>
      </c>
      <c r="B222" s="31" t="s">
        <v>294</v>
      </c>
      <c r="C222" s="125">
        <v>0</v>
      </c>
      <c r="D222" s="125">
        <v>0</v>
      </c>
      <c r="E222" s="13">
        <v>1488.72</v>
      </c>
      <c r="F222" s="32">
        <v>0</v>
      </c>
      <c r="G222" s="13">
        <f t="shared" si="12"/>
        <v>1488.72</v>
      </c>
      <c r="H222" s="20" t="s">
        <v>443</v>
      </c>
      <c r="I222" s="20"/>
    </row>
    <row r="223" spans="1:10" ht="31.5" customHeight="1" x14ac:dyDescent="0.25">
      <c r="A223" s="165" t="s">
        <v>695</v>
      </c>
      <c r="B223" s="31" t="s">
        <v>411</v>
      </c>
      <c r="C223" s="125">
        <v>0</v>
      </c>
      <c r="D223" s="125">
        <v>0</v>
      </c>
      <c r="E223" s="13">
        <v>0</v>
      </c>
      <c r="F223" s="32">
        <v>0</v>
      </c>
      <c r="G223" s="13">
        <f t="shared" si="12"/>
        <v>0</v>
      </c>
      <c r="H223" s="20" t="s">
        <v>443</v>
      </c>
      <c r="I223" s="20"/>
    </row>
    <row r="224" spans="1:10" ht="31.5" customHeight="1" x14ac:dyDescent="0.25">
      <c r="A224" s="165" t="s">
        <v>696</v>
      </c>
      <c r="B224" s="31" t="s">
        <v>296</v>
      </c>
      <c r="C224" s="125">
        <v>0</v>
      </c>
      <c r="D224" s="125">
        <v>0</v>
      </c>
      <c r="E224" s="13">
        <v>128.05000000000001</v>
      </c>
      <c r="F224" s="32">
        <v>0</v>
      </c>
      <c r="G224" s="13">
        <f t="shared" si="12"/>
        <v>128.05000000000001</v>
      </c>
      <c r="H224" s="20" t="s">
        <v>443</v>
      </c>
      <c r="I224" s="20"/>
    </row>
    <row r="225" spans="1:10" ht="31.5" customHeight="1" x14ac:dyDescent="0.25">
      <c r="A225" s="165" t="s">
        <v>697</v>
      </c>
      <c r="B225" s="31" t="s">
        <v>297</v>
      </c>
      <c r="C225" s="125">
        <v>0</v>
      </c>
      <c r="D225" s="125">
        <v>0</v>
      </c>
      <c r="E225" s="13">
        <v>0</v>
      </c>
      <c r="F225" s="32">
        <v>0</v>
      </c>
      <c r="G225" s="13">
        <f t="shared" si="12"/>
        <v>0</v>
      </c>
      <c r="H225" s="20" t="s">
        <v>443</v>
      </c>
      <c r="I225" s="20"/>
    </row>
    <row r="226" spans="1:10" ht="31.5" customHeight="1" x14ac:dyDescent="0.25">
      <c r="A226" s="165" t="s">
        <v>698</v>
      </c>
      <c r="B226" s="31" t="s">
        <v>298</v>
      </c>
      <c r="C226" s="125">
        <v>0</v>
      </c>
      <c r="D226" s="125">
        <v>0</v>
      </c>
      <c r="E226" s="13">
        <v>0</v>
      </c>
      <c r="F226" s="32">
        <v>0</v>
      </c>
      <c r="G226" s="13">
        <f t="shared" si="12"/>
        <v>0</v>
      </c>
      <c r="H226" s="20" t="s">
        <v>443</v>
      </c>
      <c r="I226" s="20"/>
    </row>
    <row r="227" spans="1:10" ht="31.5" customHeight="1" x14ac:dyDescent="0.25">
      <c r="A227" s="165" t="s">
        <v>699</v>
      </c>
      <c r="B227" s="31" t="s">
        <v>299</v>
      </c>
      <c r="C227" s="125">
        <v>0</v>
      </c>
      <c r="D227" s="125">
        <v>0</v>
      </c>
      <c r="E227" s="13">
        <v>0</v>
      </c>
      <c r="F227" s="32">
        <v>0</v>
      </c>
      <c r="G227" s="13">
        <f t="shared" si="12"/>
        <v>0</v>
      </c>
      <c r="H227" s="20" t="s">
        <v>443</v>
      </c>
      <c r="I227" s="20"/>
    </row>
    <row r="228" spans="1:10" ht="31.5" customHeight="1" x14ac:dyDescent="0.25">
      <c r="A228" s="165" t="s">
        <v>700</v>
      </c>
      <c r="B228" s="31" t="s">
        <v>291</v>
      </c>
      <c r="C228" s="125">
        <v>0</v>
      </c>
      <c r="D228" s="125">
        <v>0</v>
      </c>
      <c r="E228" s="13">
        <v>0</v>
      </c>
      <c r="F228" s="32">
        <v>0</v>
      </c>
      <c r="G228" s="13">
        <f t="shared" si="12"/>
        <v>0</v>
      </c>
      <c r="H228" s="20" t="s">
        <v>443</v>
      </c>
      <c r="I228" s="20"/>
    </row>
    <row r="229" spans="1:10" ht="31.5" customHeight="1" x14ac:dyDescent="0.25">
      <c r="A229" s="165" t="s">
        <v>701</v>
      </c>
      <c r="B229" s="31" t="s">
        <v>292</v>
      </c>
      <c r="C229" s="125">
        <v>0</v>
      </c>
      <c r="D229" s="125">
        <v>0</v>
      </c>
      <c r="E229" s="13">
        <v>0</v>
      </c>
      <c r="F229" s="32">
        <v>0</v>
      </c>
      <c r="G229" s="13">
        <f t="shared" si="12"/>
        <v>0</v>
      </c>
      <c r="H229" s="20" t="s">
        <v>443</v>
      </c>
      <c r="I229" s="20"/>
      <c r="J229" s="115"/>
    </row>
    <row r="230" spans="1:10" ht="31.5" customHeight="1" x14ac:dyDescent="0.25">
      <c r="A230" s="165" t="s">
        <v>702</v>
      </c>
      <c r="B230" s="31" t="s">
        <v>293</v>
      </c>
      <c r="C230" s="125">
        <v>0</v>
      </c>
      <c r="D230" s="125">
        <v>0</v>
      </c>
      <c r="E230" s="13">
        <v>787.6</v>
      </c>
      <c r="F230" s="32">
        <v>0</v>
      </c>
      <c r="G230" s="13">
        <f t="shared" si="12"/>
        <v>787.6</v>
      </c>
      <c r="H230" s="163" t="s">
        <v>443</v>
      </c>
      <c r="I230" s="20"/>
      <c r="J230" s="115"/>
    </row>
    <row r="231" spans="1:10" ht="31.5" customHeight="1" x14ac:dyDescent="0.25">
      <c r="A231" s="165" t="s">
        <v>795</v>
      </c>
      <c r="B231" s="31" t="s">
        <v>796</v>
      </c>
      <c r="C231" s="125">
        <v>0</v>
      </c>
      <c r="D231" s="125">
        <v>0</v>
      </c>
      <c r="E231" s="13">
        <v>181.2</v>
      </c>
      <c r="F231" s="32">
        <v>0</v>
      </c>
      <c r="G231" s="13">
        <f t="shared" si="12"/>
        <v>181.2</v>
      </c>
      <c r="H231" s="163" t="s">
        <v>443</v>
      </c>
      <c r="I231" s="20"/>
      <c r="J231" s="115"/>
    </row>
    <row r="232" spans="1:10" ht="31.5" customHeight="1" x14ac:dyDescent="0.25">
      <c r="A232" s="30"/>
      <c r="B232" s="31"/>
      <c r="C232" s="31"/>
      <c r="D232" s="31"/>
      <c r="E232" s="32"/>
      <c r="F232" s="32"/>
      <c r="G232" s="13"/>
      <c r="H232" s="20"/>
      <c r="I232" s="20"/>
      <c r="J232" s="115"/>
    </row>
    <row r="233" spans="1:10" ht="31.5" customHeight="1" thickBot="1" x14ac:dyDescent="0.3">
      <c r="A233" s="205" t="s">
        <v>300</v>
      </c>
      <c r="B233" s="206"/>
      <c r="C233" s="126">
        <f>+SUM(C234:C255)</f>
        <v>0</v>
      </c>
      <c r="D233" s="126">
        <f>+SUM(D234:D255)</f>
        <v>0</v>
      </c>
      <c r="E233" s="114">
        <f>+SUM(E234:E255)</f>
        <v>3255.61</v>
      </c>
      <c r="F233" s="114">
        <f>+SUM(F234:F255)</f>
        <v>574669.97</v>
      </c>
      <c r="G233" s="114">
        <f>+SUM(G234:G255)</f>
        <v>-503755.81</v>
      </c>
      <c r="H233" s="41"/>
      <c r="I233" s="41">
        <f>+G233+G135</f>
        <v>35803.079999999783</v>
      </c>
    </row>
    <row r="234" spans="1:10" ht="31.5" customHeight="1" x14ac:dyDescent="0.25">
      <c r="A234" s="30" t="s">
        <v>704</v>
      </c>
      <c r="B234" s="12" t="s">
        <v>412</v>
      </c>
      <c r="C234" s="127">
        <v>0</v>
      </c>
      <c r="D234" s="127">
        <v>0</v>
      </c>
      <c r="E234" s="32">
        <v>0</v>
      </c>
      <c r="F234" s="32">
        <v>428173.34</v>
      </c>
      <c r="G234" s="13">
        <f t="shared" ref="G234:G253" si="13">E234-F234</f>
        <v>-428173.34</v>
      </c>
      <c r="H234" s="15" t="s">
        <v>341</v>
      </c>
      <c r="I234" s="41"/>
    </row>
    <row r="235" spans="1:10" ht="31.5" customHeight="1" x14ac:dyDescent="0.25">
      <c r="A235" s="30" t="s">
        <v>705</v>
      </c>
      <c r="B235" s="12" t="s">
        <v>706</v>
      </c>
      <c r="C235" s="127">
        <v>0</v>
      </c>
      <c r="D235" s="127">
        <v>0</v>
      </c>
      <c r="E235" s="32">
        <v>0</v>
      </c>
      <c r="F235" s="32">
        <v>0</v>
      </c>
      <c r="G235" s="13">
        <f t="shared" si="13"/>
        <v>0</v>
      </c>
      <c r="H235" s="15" t="s">
        <v>707</v>
      </c>
      <c r="I235" s="41"/>
    </row>
    <row r="236" spans="1:10" ht="31.5" customHeight="1" x14ac:dyDescent="0.25">
      <c r="A236" s="30" t="s">
        <v>709</v>
      </c>
      <c r="B236" s="12" t="s">
        <v>710</v>
      </c>
      <c r="C236" s="127">
        <v>0</v>
      </c>
      <c r="D236" s="127">
        <v>0</v>
      </c>
      <c r="E236" s="32">
        <v>0</v>
      </c>
      <c r="F236" s="32">
        <v>0</v>
      </c>
      <c r="G236" s="13">
        <f t="shared" si="13"/>
        <v>0</v>
      </c>
      <c r="H236" s="15" t="s">
        <v>711</v>
      </c>
      <c r="I236" s="20"/>
    </row>
    <row r="237" spans="1:10" ht="31.5" customHeight="1" x14ac:dyDescent="0.25">
      <c r="A237" s="30" t="s">
        <v>708</v>
      </c>
      <c r="B237" s="12" t="s">
        <v>413</v>
      </c>
      <c r="C237" s="127">
        <v>0</v>
      </c>
      <c r="D237" s="127">
        <v>0</v>
      </c>
      <c r="E237" s="32">
        <v>0</v>
      </c>
      <c r="F237" s="32">
        <v>651.66</v>
      </c>
      <c r="G237" s="13">
        <f t="shared" si="13"/>
        <v>-651.66</v>
      </c>
      <c r="H237" s="15" t="s">
        <v>417</v>
      </c>
      <c r="I237" s="20"/>
    </row>
    <row r="238" spans="1:10" ht="31.5" customHeight="1" x14ac:dyDescent="0.25">
      <c r="A238" s="30" t="s">
        <v>830</v>
      </c>
      <c r="B238" s="12" t="s">
        <v>831</v>
      </c>
      <c r="C238" s="127">
        <v>0</v>
      </c>
      <c r="D238" s="127">
        <v>0</v>
      </c>
      <c r="E238" s="32">
        <v>0</v>
      </c>
      <c r="F238" s="32">
        <v>0</v>
      </c>
      <c r="G238" s="13">
        <f t="shared" si="13"/>
        <v>0</v>
      </c>
      <c r="H238" s="15" t="s">
        <v>344</v>
      </c>
      <c r="I238" s="20"/>
      <c r="J238" s="115"/>
    </row>
    <row r="239" spans="1:10" ht="31.5" customHeight="1" x14ac:dyDescent="0.25">
      <c r="A239" s="30" t="s">
        <v>712</v>
      </c>
      <c r="B239" s="12" t="s">
        <v>302</v>
      </c>
      <c r="C239" s="127">
        <v>0</v>
      </c>
      <c r="D239" s="127">
        <v>0</v>
      </c>
      <c r="E239" s="32">
        <v>0</v>
      </c>
      <c r="F239" s="32">
        <v>222</v>
      </c>
      <c r="G239" s="13">
        <f t="shared" si="13"/>
        <v>-222</v>
      </c>
      <c r="H239" s="15" t="s">
        <v>344</v>
      </c>
      <c r="I239" s="20"/>
    </row>
    <row r="240" spans="1:10" ht="31.5" customHeight="1" x14ac:dyDescent="0.25">
      <c r="A240" s="30" t="s">
        <v>714</v>
      </c>
      <c r="B240" s="12" t="s">
        <v>715</v>
      </c>
      <c r="C240" s="127">
        <v>0</v>
      </c>
      <c r="D240" s="127">
        <v>0</v>
      </c>
      <c r="E240" s="32">
        <v>0</v>
      </c>
      <c r="F240" s="32">
        <v>0</v>
      </c>
      <c r="G240" s="13">
        <f t="shared" si="13"/>
        <v>0</v>
      </c>
      <c r="H240" s="15" t="s">
        <v>342</v>
      </c>
      <c r="I240" s="20"/>
    </row>
    <row r="241" spans="1:12" ht="36" customHeight="1" x14ac:dyDescent="0.25">
      <c r="A241" s="30" t="s">
        <v>713</v>
      </c>
      <c r="B241" s="31" t="s">
        <v>301</v>
      </c>
      <c r="C241" s="127">
        <v>0</v>
      </c>
      <c r="D241" s="127">
        <v>0</v>
      </c>
      <c r="E241" s="32">
        <v>0</v>
      </c>
      <c r="F241" s="32">
        <v>157.83000000000001</v>
      </c>
      <c r="G241" s="13">
        <f t="shared" si="13"/>
        <v>-157.83000000000001</v>
      </c>
      <c r="H241" s="15" t="s">
        <v>342</v>
      </c>
      <c r="I241" s="41"/>
    </row>
    <row r="242" spans="1:12" ht="31.5" customHeight="1" x14ac:dyDescent="0.25">
      <c r="A242" s="30" t="s">
        <v>716</v>
      </c>
      <c r="B242" s="12" t="s">
        <v>414</v>
      </c>
      <c r="C242" s="127">
        <v>0</v>
      </c>
      <c r="D242" s="127">
        <v>0</v>
      </c>
      <c r="E242" s="32">
        <v>0</v>
      </c>
      <c r="F242" s="32">
        <v>6892.43</v>
      </c>
      <c r="G242" s="13">
        <f t="shared" si="13"/>
        <v>-6892.43</v>
      </c>
      <c r="H242" s="15" t="s">
        <v>342</v>
      </c>
    </row>
    <row r="243" spans="1:12" ht="31.5" customHeight="1" x14ac:dyDescent="0.25">
      <c r="A243" s="30" t="s">
        <v>797</v>
      </c>
      <c r="B243" s="12" t="s">
        <v>798</v>
      </c>
      <c r="C243" s="127">
        <v>0</v>
      </c>
      <c r="D243" s="127">
        <v>0</v>
      </c>
      <c r="E243" s="32">
        <v>0</v>
      </c>
      <c r="F243" s="32">
        <v>0</v>
      </c>
      <c r="G243" s="13">
        <f t="shared" si="13"/>
        <v>0</v>
      </c>
      <c r="H243" s="98" t="s">
        <v>445</v>
      </c>
    </row>
    <row r="244" spans="1:12" ht="31.5" customHeight="1" x14ac:dyDescent="0.25">
      <c r="A244" s="30" t="s">
        <v>763</v>
      </c>
      <c r="B244" s="12" t="s">
        <v>764</v>
      </c>
      <c r="C244" s="127">
        <v>0</v>
      </c>
      <c r="D244" s="127">
        <v>0</v>
      </c>
      <c r="E244" s="32">
        <v>0</v>
      </c>
      <c r="F244" s="32">
        <v>0</v>
      </c>
      <c r="G244" s="13">
        <f t="shared" si="13"/>
        <v>0</v>
      </c>
      <c r="H244" s="15" t="s">
        <v>426</v>
      </c>
      <c r="J244" s="115"/>
    </row>
    <row r="245" spans="1:12" ht="31.5" customHeight="1" x14ac:dyDescent="0.25">
      <c r="A245" s="30" t="s">
        <v>765</v>
      </c>
      <c r="B245" s="12" t="s">
        <v>766</v>
      </c>
      <c r="C245" s="127">
        <v>0</v>
      </c>
      <c r="D245" s="127">
        <v>0</v>
      </c>
      <c r="E245" s="32">
        <v>0</v>
      </c>
      <c r="F245" s="32">
        <v>0</v>
      </c>
      <c r="G245" s="13">
        <f t="shared" si="13"/>
        <v>0</v>
      </c>
      <c r="H245" s="15" t="s">
        <v>342</v>
      </c>
      <c r="J245" s="115"/>
    </row>
    <row r="246" spans="1:12" ht="31.5" customHeight="1" x14ac:dyDescent="0.25">
      <c r="A246" s="30" t="s">
        <v>1042</v>
      </c>
      <c r="B246" s="12" t="s">
        <v>1023</v>
      </c>
      <c r="C246" s="127">
        <v>0</v>
      </c>
      <c r="D246" s="127">
        <v>0</v>
      </c>
      <c r="E246" s="32">
        <v>0</v>
      </c>
      <c r="F246" s="32">
        <v>0</v>
      </c>
      <c r="G246" s="13">
        <f>E246-F246</f>
        <v>0</v>
      </c>
      <c r="H246" s="15" t="s">
        <v>342</v>
      </c>
      <c r="I246" s="41">
        <f>+G246+G242</f>
        <v>-6892.43</v>
      </c>
    </row>
    <row r="247" spans="1:12" ht="31.5" customHeight="1" x14ac:dyDescent="0.25">
      <c r="A247" s="30" t="s">
        <v>717</v>
      </c>
      <c r="B247" s="31" t="s">
        <v>894</v>
      </c>
      <c r="C247" s="164">
        <v>0</v>
      </c>
      <c r="D247" s="164">
        <v>0</v>
      </c>
      <c r="E247" s="164">
        <v>0</v>
      </c>
      <c r="F247" s="164">
        <v>29079.48</v>
      </c>
      <c r="G247" s="13">
        <v>0</v>
      </c>
      <c r="H247" s="15" t="s">
        <v>804</v>
      </c>
      <c r="I247" s="173" t="s">
        <v>1069</v>
      </c>
    </row>
    <row r="248" spans="1:12" ht="31.5" customHeight="1" x14ac:dyDescent="0.25">
      <c r="A248" s="30" t="s">
        <v>718</v>
      </c>
      <c r="B248" s="31" t="s">
        <v>895</v>
      </c>
      <c r="C248" s="164">
        <v>0</v>
      </c>
      <c r="D248" s="164">
        <v>0</v>
      </c>
      <c r="E248" s="164">
        <v>0</v>
      </c>
      <c r="F248" s="164">
        <v>309.20999999999998</v>
      </c>
      <c r="G248" s="13">
        <v>0</v>
      </c>
      <c r="H248" s="15" t="s">
        <v>804</v>
      </c>
      <c r="I248" s="173"/>
      <c r="J248" s="115"/>
    </row>
    <row r="249" spans="1:12" ht="31.5" customHeight="1" x14ac:dyDescent="0.25">
      <c r="A249" s="30" t="s">
        <v>719</v>
      </c>
      <c r="B249" s="31" t="s">
        <v>415</v>
      </c>
      <c r="C249" s="164">
        <v>0</v>
      </c>
      <c r="D249" s="164">
        <v>0</v>
      </c>
      <c r="E249" s="164">
        <v>0</v>
      </c>
      <c r="F249" s="164">
        <v>2.81</v>
      </c>
      <c r="G249" s="13">
        <v>0</v>
      </c>
      <c r="H249" s="15" t="s">
        <v>804</v>
      </c>
      <c r="I249" s="173"/>
      <c r="J249" s="135"/>
      <c r="K249" s="135"/>
      <c r="L249" s="135"/>
    </row>
    <row r="250" spans="1:12" ht="31.5" customHeight="1" x14ac:dyDescent="0.25">
      <c r="A250" s="30" t="s">
        <v>896</v>
      </c>
      <c r="B250" s="31" t="s">
        <v>897</v>
      </c>
      <c r="C250" s="164">
        <v>0</v>
      </c>
      <c r="D250" s="164">
        <v>0</v>
      </c>
      <c r="E250" s="164">
        <v>0</v>
      </c>
      <c r="F250" s="164">
        <v>2038.25</v>
      </c>
      <c r="G250" s="13">
        <v>0</v>
      </c>
      <c r="H250" s="15" t="s">
        <v>804</v>
      </c>
      <c r="I250" s="173"/>
      <c r="J250" s="136"/>
      <c r="K250" s="137"/>
      <c r="L250" s="138"/>
    </row>
    <row r="251" spans="1:12" ht="31.5" customHeight="1" x14ac:dyDescent="0.25">
      <c r="A251" s="30" t="s">
        <v>991</v>
      </c>
      <c r="B251" s="31" t="s">
        <v>992</v>
      </c>
      <c r="C251" s="164">
        <v>0</v>
      </c>
      <c r="D251" s="164">
        <v>0</v>
      </c>
      <c r="E251" s="164">
        <v>3255.61</v>
      </c>
      <c r="F251" s="164">
        <v>39484.410000000003</v>
      </c>
      <c r="G251" s="13">
        <v>0</v>
      </c>
      <c r="H251" s="15" t="s">
        <v>804</v>
      </c>
      <c r="I251" s="173"/>
      <c r="J251" s="136"/>
      <c r="K251" s="137"/>
      <c r="L251" s="138"/>
    </row>
    <row r="252" spans="1:12" ht="31.5" customHeight="1" x14ac:dyDescent="0.25">
      <c r="A252" s="119" t="s">
        <v>800</v>
      </c>
      <c r="B252" s="120" t="s">
        <v>802</v>
      </c>
      <c r="C252" s="127">
        <v>0</v>
      </c>
      <c r="D252" s="127">
        <v>0</v>
      </c>
      <c r="E252" s="32">
        <v>0</v>
      </c>
      <c r="F252" s="32">
        <v>11395.98</v>
      </c>
      <c r="G252" s="128">
        <f>E252-F252</f>
        <v>-11395.98</v>
      </c>
      <c r="H252" s="15" t="s">
        <v>804</v>
      </c>
      <c r="I252" s="41"/>
      <c r="J252" s="136"/>
      <c r="K252" s="137"/>
      <c r="L252" s="139"/>
    </row>
    <row r="253" spans="1:12" ht="31.5" customHeight="1" x14ac:dyDescent="0.25">
      <c r="A253" s="119" t="s">
        <v>801</v>
      </c>
      <c r="B253" s="120" t="s">
        <v>803</v>
      </c>
      <c r="C253" s="127">
        <v>0</v>
      </c>
      <c r="D253" s="127">
        <v>0</v>
      </c>
      <c r="E253" s="32">
        <f>++D252</f>
        <v>0</v>
      </c>
      <c r="F253" s="32">
        <v>56262.57</v>
      </c>
      <c r="G253" s="128">
        <f t="shared" si="13"/>
        <v>-56262.57</v>
      </c>
      <c r="H253" s="15" t="s">
        <v>343</v>
      </c>
      <c r="I253" s="41">
        <v>-257725.53</v>
      </c>
      <c r="J253" s="138"/>
      <c r="K253" s="140"/>
      <c r="L253" s="141"/>
    </row>
    <row r="254" spans="1:12" ht="31.5" customHeight="1" x14ac:dyDescent="0.25">
      <c r="A254" s="30" t="s">
        <v>703</v>
      </c>
      <c r="B254" s="31" t="str">
        <f>[1]Sheet1!$H$442</f>
        <v>porez na rezultat</v>
      </c>
      <c r="C254" s="127">
        <v>0</v>
      </c>
      <c r="D254" s="127">
        <v>0</v>
      </c>
      <c r="E254" s="32">
        <v>0</v>
      </c>
      <c r="F254" s="32">
        <v>0</v>
      </c>
      <c r="G254" s="13">
        <f t="shared" ref="G254" si="14">E254-F254</f>
        <v>0</v>
      </c>
      <c r="H254" s="20" t="s">
        <v>449</v>
      </c>
      <c r="I254" s="41"/>
      <c r="J254" s="138"/>
      <c r="K254" s="140"/>
      <c r="L254" s="141"/>
    </row>
    <row r="255" spans="1:12" ht="31.5" customHeight="1" x14ac:dyDescent="0.25">
      <c r="A255" s="30" t="s">
        <v>832</v>
      </c>
      <c r="B255" s="31" t="s">
        <v>833</v>
      </c>
      <c r="C255" s="127">
        <v>0</v>
      </c>
      <c r="D255" s="127">
        <v>0</v>
      </c>
      <c r="E255" s="32">
        <v>0</v>
      </c>
      <c r="F255" s="32">
        <v>0</v>
      </c>
      <c r="G255" s="13">
        <f>E255-F255</f>
        <v>0</v>
      </c>
      <c r="H255" s="15" t="s">
        <v>418</v>
      </c>
      <c r="I255" s="98"/>
      <c r="J255" s="138"/>
      <c r="K255" s="140"/>
      <c r="L255" s="141"/>
    </row>
    <row r="256" spans="1:12" ht="31.5" customHeight="1" x14ac:dyDescent="0.25">
      <c r="A256" s="30"/>
      <c r="B256" s="31"/>
      <c r="C256" s="31"/>
      <c r="D256" s="31"/>
      <c r="E256" s="32"/>
      <c r="F256" s="32"/>
      <c r="G256" s="13"/>
      <c r="I256" s="41"/>
      <c r="J256" s="138"/>
      <c r="K256" s="140"/>
      <c r="L256" s="141"/>
    </row>
    <row r="257" spans="1:14" ht="31.5" customHeight="1" thickBot="1" x14ac:dyDescent="0.3">
      <c r="A257" s="205" t="s">
        <v>844</v>
      </c>
      <c r="B257" s="206"/>
      <c r="C257" s="126">
        <f>+SUM(C258:C278)</f>
        <v>441178.98000000004</v>
      </c>
      <c r="D257" s="126">
        <f>+SUM(D258:D278)</f>
        <v>6750139.7999999998</v>
      </c>
      <c r="E257" s="114">
        <f>+SUM(E258:E278)</f>
        <v>88532.95</v>
      </c>
      <c r="F257" s="114">
        <f>+SUM(F258:F278)</f>
        <v>188982.09000000023</v>
      </c>
      <c r="G257" s="114">
        <f>+SUM(G258:G278)</f>
        <v>-6409409.9600000009</v>
      </c>
      <c r="H257" s="27"/>
      <c r="J257" s="138"/>
      <c r="K257" s="140"/>
      <c r="L257" s="141"/>
    </row>
    <row r="258" spans="1:14" ht="31.5" customHeight="1" x14ac:dyDescent="0.25">
      <c r="A258" s="165" t="s">
        <v>720</v>
      </c>
      <c r="B258" s="31" t="s">
        <v>284</v>
      </c>
      <c r="C258" s="13">
        <v>0</v>
      </c>
      <c r="D258" s="32">
        <v>1900000</v>
      </c>
      <c r="E258" s="13">
        <v>0</v>
      </c>
      <c r="F258" s="32">
        <v>0</v>
      </c>
      <c r="G258" s="32">
        <f>+C258-D258+E258-F258</f>
        <v>-1900000</v>
      </c>
      <c r="H258" s="15" t="s">
        <v>327</v>
      </c>
      <c r="J258" s="138"/>
      <c r="K258" s="140"/>
      <c r="L258" s="141"/>
    </row>
    <row r="259" spans="1:14" ht="31.5" customHeight="1" x14ac:dyDescent="0.25">
      <c r="A259" s="165" t="s">
        <v>838</v>
      </c>
      <c r="B259" s="31" t="s">
        <v>839</v>
      </c>
      <c r="C259" s="13">
        <v>0</v>
      </c>
      <c r="D259" s="32">
        <v>0</v>
      </c>
      <c r="E259" s="13">
        <v>0</v>
      </c>
      <c r="F259" s="32">
        <v>0</v>
      </c>
      <c r="G259" s="32">
        <f t="shared" ref="G259:G278" si="15">+C259-D259+E259-F259</f>
        <v>0</v>
      </c>
      <c r="H259" s="15" t="s">
        <v>840</v>
      </c>
      <c r="J259" s="138"/>
      <c r="K259" s="140"/>
      <c r="L259" s="141"/>
    </row>
    <row r="260" spans="1:14" ht="31.5" customHeight="1" x14ac:dyDescent="0.25">
      <c r="A260" s="165" t="s">
        <v>721</v>
      </c>
      <c r="B260" s="31" t="s">
        <v>358</v>
      </c>
      <c r="C260" s="13">
        <v>344195.8</v>
      </c>
      <c r="D260" s="32">
        <v>0</v>
      </c>
      <c r="E260" s="13">
        <v>0</v>
      </c>
      <c r="F260" s="32">
        <v>0</v>
      </c>
      <c r="G260" s="157">
        <f>+C260-D260+E260-F260</f>
        <v>344195.8</v>
      </c>
      <c r="H260" s="15" t="s">
        <v>328</v>
      </c>
      <c r="J260" s="138"/>
      <c r="K260" s="140"/>
      <c r="L260" s="141"/>
    </row>
    <row r="261" spans="1:14" ht="31.5" customHeight="1" x14ac:dyDescent="0.25">
      <c r="A261" s="30" t="s">
        <v>1027</v>
      </c>
      <c r="B261" s="31" t="s">
        <v>358</v>
      </c>
      <c r="C261" s="13">
        <v>0</v>
      </c>
      <c r="D261" s="32">
        <v>252984.86</v>
      </c>
      <c r="E261" s="13">
        <v>0</v>
      </c>
      <c r="F261" s="32">
        <v>0</v>
      </c>
      <c r="G261" s="157">
        <f t="shared" si="15"/>
        <v>-252984.86</v>
      </c>
      <c r="H261" s="15" t="s">
        <v>328</v>
      </c>
      <c r="I261" s="41"/>
      <c r="J261" s="138"/>
      <c r="K261" s="140"/>
      <c r="L261" s="141"/>
    </row>
    <row r="262" spans="1:14" ht="31.5" customHeight="1" x14ac:dyDescent="0.25">
      <c r="A262" s="30" t="s">
        <v>843</v>
      </c>
      <c r="B262" s="31" t="s">
        <v>359</v>
      </c>
      <c r="C262" s="13">
        <v>0</v>
      </c>
      <c r="D262" s="32">
        <v>0</v>
      </c>
      <c r="E262" s="13"/>
      <c r="F262" s="32">
        <f>+G286</f>
        <v>-35803.079999999783</v>
      </c>
      <c r="G262" s="157">
        <f>+C262-D262+E262-F262</f>
        <v>35803.079999999783</v>
      </c>
      <c r="H262" s="15" t="s">
        <v>330</v>
      </c>
      <c r="I262" s="41"/>
      <c r="J262" s="138"/>
      <c r="K262" s="140"/>
      <c r="L262" s="141"/>
    </row>
    <row r="263" spans="1:14" ht="31.5" customHeight="1" x14ac:dyDescent="0.25">
      <c r="A263" s="165" t="s">
        <v>834</v>
      </c>
      <c r="B263" s="31" t="s">
        <v>835</v>
      </c>
      <c r="C263" s="13">
        <v>0</v>
      </c>
      <c r="D263" s="32">
        <v>0</v>
      </c>
      <c r="E263" s="13">
        <v>0</v>
      </c>
      <c r="F263" s="32">
        <v>0</v>
      </c>
      <c r="G263" s="32">
        <f t="shared" si="15"/>
        <v>0</v>
      </c>
      <c r="H263" s="15" t="s">
        <v>836</v>
      </c>
      <c r="I263" s="41"/>
      <c r="J263" s="138"/>
      <c r="K263" s="140"/>
      <c r="L263" s="141"/>
    </row>
    <row r="264" spans="1:14" ht="31.5" customHeight="1" x14ac:dyDescent="0.25">
      <c r="A264" s="165" t="s">
        <v>612</v>
      </c>
      <c r="B264" s="31" t="str">
        <f>[1]Sheet1!$H$483</f>
        <v>rezervisanja za penzije,jubilarne nagrade i otpremnine povodom penzionisanja</v>
      </c>
      <c r="C264" s="13">
        <v>0</v>
      </c>
      <c r="D264" s="32">
        <v>442.26</v>
      </c>
      <c r="E264" s="13">
        <v>0</v>
      </c>
      <c r="F264" s="32">
        <v>0</v>
      </c>
      <c r="G264" s="32">
        <f t="shared" si="15"/>
        <v>-442.26</v>
      </c>
      <c r="H264" s="15" t="s">
        <v>447</v>
      </c>
      <c r="J264" s="138"/>
      <c r="K264" s="140"/>
      <c r="L264" s="141"/>
    </row>
    <row r="265" spans="1:14" ht="31.5" customHeight="1" x14ac:dyDescent="0.25">
      <c r="A265" s="165" t="s">
        <v>1066</v>
      </c>
      <c r="B265" s="31" t="s">
        <v>1067</v>
      </c>
      <c r="C265" s="13">
        <v>0</v>
      </c>
      <c r="D265" s="32">
        <v>0</v>
      </c>
      <c r="E265" s="13">
        <v>0</v>
      </c>
      <c r="F265" s="32">
        <v>0</v>
      </c>
      <c r="G265" s="32">
        <f t="shared" si="15"/>
        <v>0</v>
      </c>
      <c r="H265" s="15" t="s">
        <v>1026</v>
      </c>
      <c r="J265" s="138"/>
      <c r="K265" s="140"/>
      <c r="L265" s="141"/>
    </row>
    <row r="266" spans="1:14" ht="31.5" customHeight="1" x14ac:dyDescent="0.25">
      <c r="A266" s="165" t="s">
        <v>1024</v>
      </c>
      <c r="B266" s="31" t="s">
        <v>1025</v>
      </c>
      <c r="C266" s="13">
        <v>0</v>
      </c>
      <c r="D266" s="32">
        <v>93835.13</v>
      </c>
      <c r="E266" s="13">
        <v>0</v>
      </c>
      <c r="F266" s="32">
        <v>0</v>
      </c>
      <c r="G266" s="32">
        <f t="shared" si="15"/>
        <v>-93835.13</v>
      </c>
      <c r="H266" s="15" t="s">
        <v>1026</v>
      </c>
      <c r="J266" s="142"/>
      <c r="K266" s="143"/>
      <c r="L266" s="144"/>
    </row>
    <row r="267" spans="1:14" ht="31.5" customHeight="1" x14ac:dyDescent="0.25">
      <c r="A267" s="165" t="s">
        <v>767</v>
      </c>
      <c r="B267" s="31" t="s">
        <v>851</v>
      </c>
      <c r="C267" s="13">
        <v>0</v>
      </c>
      <c r="D267" s="32">
        <v>3950647.81</v>
      </c>
      <c r="E267" s="13">
        <v>0</v>
      </c>
      <c r="F267" s="32">
        <v>184358.42</v>
      </c>
      <c r="G267" s="32">
        <f t="shared" si="15"/>
        <v>-4135006.23</v>
      </c>
      <c r="H267" s="15" t="s">
        <v>334</v>
      </c>
      <c r="J267" s="115"/>
      <c r="K267" s="115"/>
    </row>
    <row r="268" spans="1:14" ht="31.5" customHeight="1" x14ac:dyDescent="0.25">
      <c r="A268" s="165" t="s">
        <v>850</v>
      </c>
      <c r="B268" s="31" t="s">
        <v>852</v>
      </c>
      <c r="C268" s="13">
        <v>0</v>
      </c>
      <c r="D268" s="32">
        <v>353145.52</v>
      </c>
      <c r="E268" s="13">
        <v>81444.44</v>
      </c>
      <c r="F268" s="32">
        <v>0</v>
      </c>
      <c r="G268" s="32">
        <f t="shared" si="15"/>
        <v>-271701.08</v>
      </c>
      <c r="H268" s="15" t="s">
        <v>334</v>
      </c>
      <c r="J268" s="181" t="s">
        <v>929</v>
      </c>
      <c r="K268" s="182"/>
      <c r="L268" s="183"/>
    </row>
    <row r="269" spans="1:14" ht="31.5" customHeight="1" x14ac:dyDescent="0.25">
      <c r="A269" s="165" t="s">
        <v>872</v>
      </c>
      <c r="B269" s="31" t="s">
        <v>873</v>
      </c>
      <c r="C269" s="13">
        <v>0</v>
      </c>
      <c r="D269" s="32">
        <v>0</v>
      </c>
      <c r="E269" s="13">
        <v>0</v>
      </c>
      <c r="F269" s="32">
        <v>0</v>
      </c>
      <c r="G269" s="32">
        <f t="shared" si="15"/>
        <v>0</v>
      </c>
      <c r="H269" s="15" t="s">
        <v>334</v>
      </c>
      <c r="J269" s="213" t="s">
        <v>930</v>
      </c>
      <c r="K269" s="214"/>
      <c r="L269" s="111">
        <f>+L280+L281</f>
        <v>1772985.9800000002</v>
      </c>
    </row>
    <row r="270" spans="1:14" ht="31.5" customHeight="1" x14ac:dyDescent="0.25">
      <c r="A270" s="165" t="s">
        <v>722</v>
      </c>
      <c r="B270" s="31" t="s">
        <v>742</v>
      </c>
      <c r="C270" s="32">
        <v>21359.97</v>
      </c>
      <c r="D270" s="32">
        <v>0</v>
      </c>
      <c r="E270" s="13">
        <v>0</v>
      </c>
      <c r="F270" s="32">
        <v>0</v>
      </c>
      <c r="G270" s="32">
        <f t="shared" si="15"/>
        <v>21359.97</v>
      </c>
      <c r="H270" s="15" t="s">
        <v>339</v>
      </c>
      <c r="I270" s="41"/>
      <c r="J270" s="217" t="s">
        <v>931</v>
      </c>
      <c r="K270" s="218"/>
      <c r="L270" s="145">
        <f>+SUM(L271:L274)</f>
        <v>1808789.06</v>
      </c>
      <c r="N270" s="115"/>
    </row>
    <row r="271" spans="1:14" ht="31.5" customHeight="1" x14ac:dyDescent="0.25">
      <c r="A271" s="165" t="s">
        <v>723</v>
      </c>
      <c r="B271" s="31" t="str">
        <f>[1]Sheet1!$H$494</f>
        <v>neto rezervisanja za učešće u dobiti</v>
      </c>
      <c r="C271" s="13">
        <v>0</v>
      </c>
      <c r="D271" s="32">
        <v>0</v>
      </c>
      <c r="E271" s="13">
        <v>0</v>
      </c>
      <c r="F271" s="32">
        <v>0</v>
      </c>
      <c r="G271" s="32">
        <f t="shared" si="15"/>
        <v>0</v>
      </c>
      <c r="H271" s="15" t="s">
        <v>446</v>
      </c>
      <c r="J271" s="219" t="s">
        <v>932</v>
      </c>
      <c r="K271" s="220"/>
      <c r="L271" s="146">
        <f>-G258</f>
        <v>1900000</v>
      </c>
    </row>
    <row r="272" spans="1:14" ht="31.5" customHeight="1" x14ac:dyDescent="0.25">
      <c r="A272" s="165" t="s">
        <v>853</v>
      </c>
      <c r="B272" s="31" t="s">
        <v>854</v>
      </c>
      <c r="C272" s="13">
        <v>0</v>
      </c>
      <c r="D272" s="32">
        <v>21344</v>
      </c>
      <c r="E272" s="13">
        <v>259</v>
      </c>
      <c r="F272" s="32">
        <v>0</v>
      </c>
      <c r="G272" s="32">
        <f t="shared" si="15"/>
        <v>-21085</v>
      </c>
      <c r="H272" s="15" t="s">
        <v>334</v>
      </c>
      <c r="J272" s="215" t="s">
        <v>933</v>
      </c>
      <c r="K272" s="216"/>
      <c r="L272" s="146">
        <v>0</v>
      </c>
      <c r="N272" s="115"/>
    </row>
    <row r="273" spans="1:13" ht="31.5" customHeight="1" x14ac:dyDescent="0.25">
      <c r="A273" s="165" t="s">
        <v>768</v>
      </c>
      <c r="B273" s="31" t="s">
        <v>769</v>
      </c>
      <c r="C273" s="13">
        <v>0</v>
      </c>
      <c r="D273" s="32">
        <v>27044.91</v>
      </c>
      <c r="E273" s="13">
        <v>6829.51</v>
      </c>
      <c r="F273" s="32">
        <v>0</v>
      </c>
      <c r="G273" s="32">
        <f t="shared" si="15"/>
        <v>-20215.400000000001</v>
      </c>
      <c r="H273" s="15" t="s">
        <v>331</v>
      </c>
      <c r="J273" s="219" t="s">
        <v>934</v>
      </c>
      <c r="K273" s="220"/>
      <c r="L273" s="146">
        <v>0</v>
      </c>
    </row>
    <row r="274" spans="1:13" ht="31.5" customHeight="1" x14ac:dyDescent="0.25">
      <c r="A274" s="165" t="s">
        <v>724</v>
      </c>
      <c r="B274" s="31" t="s">
        <v>743</v>
      </c>
      <c r="C274" s="32">
        <v>3638.34</v>
      </c>
      <c r="D274" s="32">
        <v>0</v>
      </c>
      <c r="E274" s="13">
        <v>0</v>
      </c>
      <c r="F274" s="32">
        <v>0</v>
      </c>
      <c r="G274" s="32">
        <f t="shared" si="15"/>
        <v>3638.34</v>
      </c>
      <c r="H274" s="15" t="s">
        <v>339</v>
      </c>
      <c r="I274" s="20"/>
      <c r="J274" s="219" t="s">
        <v>935</v>
      </c>
      <c r="K274" s="220"/>
      <c r="L274" s="146">
        <f>-G260-G261</f>
        <v>-91210.94</v>
      </c>
    </row>
    <row r="275" spans="1:13" ht="31.5" customHeight="1" x14ac:dyDescent="0.25">
      <c r="A275" s="165" t="s">
        <v>770</v>
      </c>
      <c r="B275" s="31" t="s">
        <v>771</v>
      </c>
      <c r="C275" s="13">
        <v>0</v>
      </c>
      <c r="D275" s="32">
        <v>91799.679999999993</v>
      </c>
      <c r="E275" s="13">
        <v>0</v>
      </c>
      <c r="F275" s="32">
        <v>40426.75</v>
      </c>
      <c r="G275" s="32">
        <f t="shared" si="15"/>
        <v>-132226.43</v>
      </c>
      <c r="H275" s="15" t="s">
        <v>332</v>
      </c>
      <c r="I275" s="41"/>
      <c r="J275" s="217" t="s">
        <v>936</v>
      </c>
      <c r="K275" s="218"/>
      <c r="L275" s="145">
        <f>+SUM(L276:L279)</f>
        <v>35803.079999999783</v>
      </c>
      <c r="M275" s="115">
        <f>+L274-L275</f>
        <v>-127014.01999999979</v>
      </c>
    </row>
    <row r="276" spans="1:13" ht="31.5" customHeight="1" x14ac:dyDescent="0.25">
      <c r="A276" s="165" t="s">
        <v>725</v>
      </c>
      <c r="B276" s="31" t="s">
        <v>744</v>
      </c>
      <c r="C276" s="32">
        <v>42537.06</v>
      </c>
      <c r="D276" s="32">
        <v>0</v>
      </c>
      <c r="E276" s="13">
        <v>0</v>
      </c>
      <c r="F276" s="32">
        <v>0</v>
      </c>
      <c r="G276" s="32">
        <f t="shared" si="15"/>
        <v>42537.06</v>
      </c>
      <c r="H276" s="15" t="s">
        <v>339</v>
      </c>
      <c r="J276" s="215" t="s">
        <v>937</v>
      </c>
      <c r="K276" s="216"/>
      <c r="L276" s="146">
        <v>0</v>
      </c>
    </row>
    <row r="277" spans="1:13" ht="36" customHeight="1" x14ac:dyDescent="0.25">
      <c r="A277" s="165" t="s">
        <v>772</v>
      </c>
      <c r="B277" s="31" t="s">
        <v>773</v>
      </c>
      <c r="C277" s="13">
        <v>0</v>
      </c>
      <c r="D277" s="32">
        <v>58895.63</v>
      </c>
      <c r="E277" s="13">
        <v>0</v>
      </c>
      <c r="F277" s="32">
        <v>0</v>
      </c>
      <c r="G277" s="32">
        <f t="shared" si="15"/>
        <v>-58895.63</v>
      </c>
      <c r="H277" s="15" t="s">
        <v>333</v>
      </c>
      <c r="I277" s="27"/>
      <c r="J277" s="215" t="s">
        <v>938</v>
      </c>
      <c r="K277" s="216"/>
      <c r="L277" s="146">
        <v>0</v>
      </c>
    </row>
    <row r="278" spans="1:13" ht="31.5" customHeight="1" x14ac:dyDescent="0.25">
      <c r="A278" s="165" t="s">
        <v>726</v>
      </c>
      <c r="B278" s="31" t="s">
        <v>745</v>
      </c>
      <c r="C278" s="32">
        <v>29447.81</v>
      </c>
      <c r="D278" s="32">
        <v>0</v>
      </c>
      <c r="E278" s="13">
        <v>0</v>
      </c>
      <c r="F278" s="32">
        <v>0</v>
      </c>
      <c r="G278" s="32">
        <f t="shared" si="15"/>
        <v>29447.81</v>
      </c>
      <c r="H278" s="15" t="s">
        <v>339</v>
      </c>
      <c r="J278" s="215" t="s">
        <v>939</v>
      </c>
      <c r="K278" s="216"/>
      <c r="L278" s="146">
        <f>+G262</f>
        <v>35803.079999999783</v>
      </c>
    </row>
    <row r="279" spans="1:13" ht="31.5" customHeight="1" thickBot="1" x14ac:dyDescent="0.3">
      <c r="H279" s="41"/>
      <c r="J279" s="215" t="s">
        <v>940</v>
      </c>
      <c r="K279" s="216"/>
      <c r="L279" s="146">
        <v>0</v>
      </c>
    </row>
    <row r="280" spans="1:13" ht="31.5" customHeight="1" thickBot="1" x14ac:dyDescent="0.3">
      <c r="A280" s="107"/>
      <c r="B280" s="108" t="s">
        <v>303</v>
      </c>
      <c r="C280" s="108"/>
      <c r="D280" s="108"/>
      <c r="E280" s="106">
        <f>G233+G135</f>
        <v>35803.079999999783</v>
      </c>
      <c r="F280" s="106"/>
      <c r="G280" s="106">
        <f>+F284</f>
        <v>-35803.079999999783</v>
      </c>
      <c r="J280" s="217" t="s">
        <v>941</v>
      </c>
      <c r="K280" s="218"/>
      <c r="L280" s="145">
        <f>+L270-L275</f>
        <v>1772985.9800000002</v>
      </c>
    </row>
    <row r="281" spans="1:13" ht="31.5" customHeight="1" thickBot="1" x14ac:dyDescent="0.3">
      <c r="J281" s="217" t="s">
        <v>942</v>
      </c>
      <c r="K281" s="218"/>
      <c r="L281" s="145">
        <f>+SUM(L282:L286)</f>
        <v>0</v>
      </c>
    </row>
    <row r="282" spans="1:13" ht="31.5" customHeight="1" thickBot="1" x14ac:dyDescent="0.3">
      <c r="A282" s="178" t="s">
        <v>304</v>
      </c>
      <c r="B282" s="179"/>
      <c r="C282" s="179"/>
      <c r="D282" s="179"/>
      <c r="E282" s="179"/>
      <c r="F282" s="179"/>
      <c r="G282" s="180"/>
      <c r="J282" s="222" t="s">
        <v>943</v>
      </c>
      <c r="K282" s="223"/>
      <c r="L282" s="146">
        <v>0</v>
      </c>
    </row>
    <row r="283" spans="1:13" ht="31.5" customHeight="1" x14ac:dyDescent="0.25">
      <c r="J283" s="222" t="s">
        <v>944</v>
      </c>
      <c r="K283" s="223"/>
      <c r="L283" s="146">
        <v>0</v>
      </c>
    </row>
    <row r="284" spans="1:13" ht="31.5" customHeight="1" x14ac:dyDescent="0.25">
      <c r="A284" s="109"/>
      <c r="B284" s="110" t="s">
        <v>305</v>
      </c>
      <c r="C284" s="110"/>
      <c r="D284" s="110"/>
      <c r="E284" s="111"/>
      <c r="F284" s="111">
        <f>-E280</f>
        <v>-35803.079999999783</v>
      </c>
      <c r="G284" s="111"/>
      <c r="J284" s="222" t="s">
        <v>945</v>
      </c>
      <c r="K284" s="223"/>
      <c r="L284" s="146">
        <v>0</v>
      </c>
    </row>
    <row r="285" spans="1:13" ht="31.5" customHeight="1" thickBot="1" x14ac:dyDescent="0.3">
      <c r="J285" s="222" t="s">
        <v>946</v>
      </c>
      <c r="K285" s="223"/>
      <c r="L285" s="146">
        <v>0</v>
      </c>
    </row>
    <row r="286" spans="1:13" ht="31.5" customHeight="1" thickBot="1" x14ac:dyDescent="0.3">
      <c r="F286" s="112" t="s">
        <v>306</v>
      </c>
      <c r="G286" s="113">
        <f>G284+G280</f>
        <v>-35803.079999999783</v>
      </c>
      <c r="J286" s="215" t="s">
        <v>947</v>
      </c>
      <c r="K286" s="216"/>
      <c r="L286" s="146">
        <v>0</v>
      </c>
    </row>
    <row r="287" spans="1:13" ht="31.5" customHeight="1" x14ac:dyDescent="0.25">
      <c r="A287" s="16"/>
      <c r="B287" s="16"/>
      <c r="C287" s="16"/>
      <c r="D287" s="16"/>
      <c r="E287" s="16"/>
      <c r="F287" s="16"/>
      <c r="G287" s="115"/>
      <c r="H287" s="16"/>
      <c r="J287" s="224" t="s">
        <v>948</v>
      </c>
      <c r="K287" s="224"/>
      <c r="L287" s="111">
        <f>+L269/3</f>
        <v>590995.32666666678</v>
      </c>
    </row>
    <row r="288" spans="1:13" ht="31.5" customHeight="1" x14ac:dyDescent="0.25">
      <c r="A288" s="16"/>
      <c r="B288" s="16"/>
      <c r="C288" s="16"/>
      <c r="D288" s="16"/>
      <c r="E288" s="16"/>
      <c r="F288" s="16"/>
      <c r="G288" s="115"/>
      <c r="H288" s="115"/>
      <c r="J288" s="221" t="s">
        <v>949</v>
      </c>
      <c r="K288" s="221"/>
      <c r="L288" s="147">
        <f>-(G267+G268+G269+G270+G271+G272+G273+G274+G275+G276+G277+G278)+(G270+G274+G276+G278)</f>
        <v>4639129.7700000005</v>
      </c>
    </row>
    <row r="289" spans="1:14" ht="31.5" customHeight="1" x14ac:dyDescent="0.25">
      <c r="A289" s="16"/>
      <c r="B289" s="16"/>
      <c r="C289" s="16"/>
      <c r="D289" s="16"/>
      <c r="E289" s="16"/>
      <c r="F289" s="16"/>
      <c r="G289" s="115"/>
      <c r="H289" s="16"/>
      <c r="J289" s="221" t="s">
        <v>950</v>
      </c>
      <c r="K289" s="221"/>
      <c r="L289" s="147">
        <f>+L287+L288</f>
        <v>5230125.0966666676</v>
      </c>
    </row>
    <row r="290" spans="1:14" ht="31.5" customHeight="1" x14ac:dyDescent="0.25">
      <c r="A290" s="16"/>
      <c r="B290" s="16" t="s">
        <v>1074</v>
      </c>
      <c r="C290" s="16"/>
      <c r="D290" s="16"/>
      <c r="E290" s="16"/>
      <c r="F290" s="16"/>
      <c r="G290" s="16">
        <v>-74070.13</v>
      </c>
      <c r="H290" s="16"/>
      <c r="J290" s="221" t="s">
        <v>951</v>
      </c>
      <c r="K290" s="221"/>
      <c r="L290" s="147">
        <f>+L289/7</f>
        <v>747160.72809523821</v>
      </c>
      <c r="N290" s="158">
        <f>+L271-L280</f>
        <v>127014.01999999979</v>
      </c>
    </row>
    <row r="291" spans="1:14" ht="31.5" customHeight="1" x14ac:dyDescent="0.25">
      <c r="A291" s="16"/>
      <c r="B291" s="16" t="s">
        <v>1075</v>
      </c>
      <c r="C291" s="16"/>
      <c r="D291" s="115"/>
      <c r="E291" s="16"/>
      <c r="F291" s="16"/>
      <c r="G291" s="115">
        <f>+G290-G286</f>
        <v>-38267.050000000221</v>
      </c>
      <c r="H291" s="16"/>
      <c r="J291" s="221" t="s">
        <v>952</v>
      </c>
      <c r="K291" s="221"/>
      <c r="L291" s="147">
        <f>+G270+G274+G276+G278</f>
        <v>96983.18</v>
      </c>
    </row>
    <row r="292" spans="1:14" ht="31.5" customHeight="1" x14ac:dyDescent="0.25">
      <c r="A292" s="16"/>
      <c r="B292" s="16" t="s">
        <v>1076</v>
      </c>
      <c r="C292" s="16"/>
      <c r="D292" s="16"/>
      <c r="E292" s="16"/>
      <c r="F292" s="16"/>
      <c r="G292" s="115">
        <v>2038.25</v>
      </c>
      <c r="H292" s="16"/>
      <c r="L292" s="41"/>
      <c r="N292" s="115">
        <f>+L288-L291</f>
        <v>4542146.5900000008</v>
      </c>
    </row>
    <row r="293" spans="1:14" ht="31.5" customHeight="1" x14ac:dyDescent="0.25">
      <c r="A293" s="16"/>
      <c r="B293" s="16" t="s">
        <v>1077</v>
      </c>
      <c r="C293" s="16"/>
      <c r="D293" s="16"/>
      <c r="E293" s="16"/>
      <c r="F293" s="16"/>
      <c r="G293" s="115">
        <v>36228.800000000003</v>
      </c>
      <c r="H293" s="16"/>
      <c r="L293" s="41"/>
    </row>
    <row r="294" spans="1:14" ht="31.5" customHeight="1" x14ac:dyDescent="0.25">
      <c r="A294" s="16"/>
      <c r="B294" s="16" t="s">
        <v>1078</v>
      </c>
      <c r="C294" s="16"/>
      <c r="D294" s="16"/>
      <c r="E294" s="16"/>
      <c r="F294" s="16"/>
      <c r="G294" s="115">
        <f>+G291+G292+G293</f>
        <v>-2.1827872842550278E-10</v>
      </c>
      <c r="H294" s="16"/>
      <c r="L294" s="160">
        <f>+L288-L291</f>
        <v>4542146.5900000008</v>
      </c>
    </row>
    <row r="295" spans="1:14" ht="31.5" customHeight="1" x14ac:dyDescent="0.25">
      <c r="A295" s="16"/>
      <c r="B295" s="16"/>
      <c r="C295" s="16"/>
      <c r="D295" s="16"/>
      <c r="E295" s="16"/>
      <c r="F295" s="16"/>
      <c r="G295" s="16"/>
      <c r="H295" s="16"/>
      <c r="L295" s="15"/>
    </row>
    <row r="296" spans="1:14" ht="31.5" customHeight="1" x14ac:dyDescent="0.25">
      <c r="A296" s="16"/>
      <c r="B296" s="16"/>
      <c r="C296" s="16"/>
      <c r="D296" s="16"/>
      <c r="E296" s="16"/>
      <c r="F296" s="16"/>
      <c r="G296" s="16"/>
      <c r="H296" s="16"/>
      <c r="I296" s="41"/>
      <c r="J296" s="115"/>
      <c r="L296" s="15"/>
    </row>
    <row r="297" spans="1:14" ht="36" customHeight="1" x14ac:dyDescent="0.25">
      <c r="A297" s="16"/>
      <c r="B297" s="16"/>
      <c r="C297" s="16"/>
      <c r="D297" s="16"/>
      <c r="E297" s="16"/>
      <c r="F297" s="16"/>
      <c r="G297" s="16"/>
      <c r="H297" s="16"/>
      <c r="L297" s="15"/>
    </row>
    <row r="298" spans="1:14" ht="31.5" customHeight="1" x14ac:dyDescent="0.25">
      <c r="A298" s="16"/>
      <c r="B298" s="16"/>
      <c r="C298" s="16"/>
      <c r="D298" s="16"/>
      <c r="E298" s="16"/>
      <c r="F298" s="16"/>
      <c r="G298" s="16"/>
      <c r="H298" s="16"/>
      <c r="J298" s="115"/>
      <c r="L298" s="15"/>
      <c r="M298" s="115"/>
      <c r="N298" s="115"/>
    </row>
    <row r="299" spans="1:14" ht="36" customHeight="1" x14ac:dyDescent="0.25">
      <c r="A299" s="16"/>
      <c r="B299" s="16"/>
      <c r="C299" s="16"/>
      <c r="D299" s="16"/>
      <c r="E299" s="16"/>
      <c r="F299" s="16"/>
      <c r="G299" s="16"/>
      <c r="H299" s="16"/>
      <c r="J299" s="115"/>
      <c r="L299" s="15"/>
      <c r="M299" s="115"/>
    </row>
    <row r="300" spans="1:14" ht="31.5" customHeight="1" x14ac:dyDescent="0.25">
      <c r="A300" s="16"/>
      <c r="B300" s="16"/>
      <c r="C300" s="16"/>
      <c r="D300" s="16"/>
      <c r="E300" s="16"/>
      <c r="F300" s="16"/>
      <c r="G300" s="16"/>
      <c r="H300" s="16"/>
      <c r="L300" s="15"/>
    </row>
    <row r="301" spans="1:14" ht="36" customHeight="1" x14ac:dyDescent="0.25">
      <c r="A301" s="16"/>
      <c r="B301" s="16"/>
      <c r="C301" s="16"/>
      <c r="D301" s="16"/>
      <c r="E301" s="16"/>
      <c r="F301" s="16"/>
      <c r="G301" s="16"/>
      <c r="H301" s="16"/>
      <c r="L301" s="15"/>
    </row>
    <row r="302" spans="1:14" ht="31.5" customHeight="1" x14ac:dyDescent="0.25">
      <c r="A302" s="16"/>
      <c r="B302" s="16"/>
      <c r="C302" s="16"/>
      <c r="D302" s="16"/>
      <c r="E302" s="16"/>
      <c r="F302" s="16"/>
      <c r="G302" s="16"/>
      <c r="H302" s="16"/>
      <c r="L302" s="15"/>
    </row>
    <row r="303" spans="1:14" x14ac:dyDescent="0.25">
      <c r="A303" s="16"/>
      <c r="B303" s="16"/>
      <c r="C303" s="16"/>
      <c r="D303" s="16"/>
      <c r="E303" s="16"/>
      <c r="F303" s="16"/>
      <c r="G303" s="16"/>
      <c r="H303" s="16"/>
      <c r="L303" s="15"/>
    </row>
    <row r="304" spans="1:14" ht="31.5" customHeight="1" x14ac:dyDescent="0.25">
      <c r="A304" s="16"/>
      <c r="B304" s="16"/>
      <c r="C304" s="16"/>
      <c r="D304" s="16"/>
      <c r="E304" s="16"/>
      <c r="F304" s="16"/>
      <c r="G304" s="16"/>
      <c r="H304" s="16"/>
      <c r="I304" s="16"/>
      <c r="L304" s="15"/>
      <c r="M304" s="16" t="s">
        <v>1036</v>
      </c>
    </row>
    <row r="305" spans="1:12" ht="31.5" customHeight="1" x14ac:dyDescent="0.25">
      <c r="A305" s="16"/>
      <c r="B305" s="16"/>
      <c r="C305" s="16"/>
      <c r="D305" s="16"/>
      <c r="E305" s="16"/>
      <c r="F305" s="16"/>
      <c r="G305" s="16"/>
      <c r="H305" s="16"/>
      <c r="I305" s="115"/>
      <c r="L305" s="15"/>
    </row>
    <row r="306" spans="1:12" ht="31.5" customHeight="1" x14ac:dyDescent="0.25">
      <c r="A306" s="16"/>
      <c r="B306" s="16"/>
      <c r="C306" s="16"/>
      <c r="D306" s="16"/>
      <c r="E306" s="16"/>
      <c r="F306" s="16"/>
      <c r="G306" s="16"/>
      <c r="H306" s="16"/>
      <c r="I306" s="16"/>
      <c r="L306" s="15"/>
    </row>
    <row r="307" spans="1:12" ht="31.5" customHeight="1" x14ac:dyDescent="0.25">
      <c r="A307" s="16"/>
      <c r="B307" s="16"/>
      <c r="C307" s="16"/>
      <c r="D307" s="16"/>
      <c r="E307" s="16"/>
      <c r="F307" s="16"/>
      <c r="G307" s="16"/>
      <c r="H307" s="16"/>
      <c r="I307" s="16"/>
      <c r="L307" s="15"/>
    </row>
    <row r="308" spans="1:12" ht="31.5" customHeight="1" x14ac:dyDescent="0.25">
      <c r="A308" s="16"/>
      <c r="B308" s="16"/>
      <c r="C308" s="16"/>
      <c r="D308" s="16"/>
      <c r="E308" s="16"/>
      <c r="F308" s="16"/>
      <c r="G308" s="16"/>
      <c r="H308" s="16"/>
      <c r="I308" s="16"/>
      <c r="L308" s="15"/>
    </row>
    <row r="309" spans="1:12" ht="31.5" customHeight="1" x14ac:dyDescent="0.25">
      <c r="A309" s="16"/>
      <c r="B309" s="16"/>
      <c r="C309" s="16"/>
      <c r="D309" s="16"/>
      <c r="E309" s="16"/>
      <c r="F309" s="16"/>
      <c r="G309" s="16"/>
      <c r="H309" s="16"/>
      <c r="I309" s="16"/>
      <c r="L309" s="15"/>
    </row>
    <row r="310" spans="1:12" ht="31.5" customHeight="1" x14ac:dyDescent="0.25">
      <c r="A310" s="16"/>
      <c r="B310" s="16"/>
      <c r="C310" s="16"/>
      <c r="D310" s="16"/>
      <c r="E310" s="16"/>
      <c r="F310" s="16"/>
      <c r="G310" s="16"/>
      <c r="H310" s="16"/>
      <c r="I310" s="16"/>
      <c r="L310" s="15"/>
    </row>
    <row r="311" spans="1:12" ht="31.5" customHeight="1" x14ac:dyDescent="0.25">
      <c r="A311" s="16"/>
      <c r="B311" s="16"/>
      <c r="C311" s="16"/>
      <c r="D311" s="16"/>
      <c r="E311" s="16"/>
      <c r="F311" s="16"/>
      <c r="G311" s="16"/>
      <c r="H311" s="16"/>
      <c r="I311" s="16"/>
      <c r="L311" s="15"/>
    </row>
    <row r="312" spans="1:12" ht="31.5" customHeight="1" x14ac:dyDescent="0.25">
      <c r="A312" s="16"/>
      <c r="B312" s="16"/>
      <c r="C312" s="16"/>
      <c r="D312" s="16"/>
      <c r="E312" s="16"/>
      <c r="F312" s="16"/>
      <c r="G312" s="16"/>
      <c r="H312" s="16"/>
      <c r="I312" s="16"/>
    </row>
    <row r="313" spans="1:12" ht="31.5" customHeight="1" x14ac:dyDescent="0.25">
      <c r="A313" s="16"/>
      <c r="B313" s="16"/>
      <c r="C313" s="16"/>
      <c r="D313" s="16"/>
      <c r="E313" s="16"/>
      <c r="F313" s="16"/>
      <c r="G313" s="16"/>
      <c r="H313" s="16"/>
      <c r="I313" s="16"/>
    </row>
    <row r="314" spans="1:12" ht="31.5" customHeight="1" x14ac:dyDescent="0.25">
      <c r="A314" s="16"/>
      <c r="B314" s="16"/>
      <c r="C314" s="16"/>
      <c r="D314" s="16"/>
      <c r="E314" s="16"/>
      <c r="F314" s="16"/>
      <c r="G314" s="16"/>
      <c r="H314" s="16"/>
      <c r="I314" s="16"/>
    </row>
    <row r="315" spans="1:12" ht="31.5" customHeight="1" x14ac:dyDescent="0.25">
      <c r="A315" s="16"/>
      <c r="B315" s="16"/>
      <c r="C315" s="16"/>
      <c r="D315" s="16"/>
      <c r="E315" s="16"/>
      <c r="F315" s="16"/>
      <c r="G315" s="16"/>
      <c r="H315" s="16"/>
      <c r="I315" s="16"/>
    </row>
    <row r="316" spans="1:12" ht="31.5" customHeight="1" x14ac:dyDescent="0.25">
      <c r="A316" s="16"/>
      <c r="B316" s="16"/>
      <c r="C316" s="16"/>
      <c r="D316" s="16"/>
      <c r="E316" s="16"/>
      <c r="F316" s="16"/>
      <c r="G316" s="16"/>
      <c r="H316" s="16"/>
      <c r="I316" s="16"/>
    </row>
    <row r="317" spans="1:12" ht="31.5" customHeight="1" x14ac:dyDescent="0.25">
      <c r="A317" s="16"/>
      <c r="B317" s="16"/>
      <c r="C317" s="16"/>
      <c r="D317" s="16"/>
      <c r="E317" s="16"/>
      <c r="F317" s="16"/>
      <c r="G317" s="16"/>
      <c r="H317" s="16"/>
      <c r="I317" s="16"/>
    </row>
    <row r="318" spans="1:12" ht="31.5" customHeight="1" x14ac:dyDescent="0.25">
      <c r="A318" s="16"/>
      <c r="B318" s="16"/>
      <c r="C318" s="16"/>
      <c r="D318" s="16"/>
      <c r="E318" s="16"/>
      <c r="F318" s="16"/>
      <c r="G318" s="16"/>
      <c r="H318" s="16"/>
      <c r="I318" s="16"/>
    </row>
    <row r="319" spans="1:12" ht="31.5" customHeight="1" x14ac:dyDescent="0.25">
      <c r="A319" s="16"/>
      <c r="B319" s="16"/>
      <c r="C319" s="16"/>
      <c r="D319" s="16"/>
      <c r="E319" s="16"/>
      <c r="F319" s="16"/>
      <c r="G319" s="16"/>
      <c r="H319" s="16"/>
      <c r="I319" s="16"/>
    </row>
    <row r="320" spans="1:12" ht="31.5" customHeight="1" x14ac:dyDescent="0.25">
      <c r="A320" s="16"/>
      <c r="B320" s="16"/>
      <c r="C320" s="16"/>
      <c r="D320" s="16"/>
      <c r="E320" s="16"/>
      <c r="F320" s="16"/>
      <c r="G320" s="16"/>
      <c r="H320" s="16"/>
      <c r="I320" s="16"/>
    </row>
    <row r="321" spans="1:9" ht="31.5" customHeight="1" x14ac:dyDescent="0.25">
      <c r="A321" s="16"/>
      <c r="B321" s="16"/>
      <c r="C321" s="16"/>
      <c r="D321" s="16"/>
      <c r="E321" s="16"/>
      <c r="F321" s="16"/>
      <c r="G321" s="16"/>
      <c r="H321" s="16"/>
      <c r="I321" s="16"/>
    </row>
    <row r="322" spans="1:9" ht="31.5" customHeight="1" x14ac:dyDescent="0.25">
      <c r="A322" s="16"/>
      <c r="B322" s="16"/>
      <c r="C322" s="16"/>
      <c r="D322" s="16"/>
      <c r="E322" s="16"/>
      <c r="F322" s="16"/>
      <c r="G322" s="16"/>
      <c r="H322" s="16"/>
      <c r="I322" s="16"/>
    </row>
    <row r="323" spans="1:9" ht="31.5" customHeight="1" x14ac:dyDescent="0.25">
      <c r="A323" s="16"/>
      <c r="B323" s="16"/>
      <c r="C323" s="16"/>
      <c r="D323" s="16"/>
      <c r="E323" s="16"/>
      <c r="F323" s="16"/>
      <c r="G323" s="16"/>
      <c r="H323" s="16"/>
      <c r="I323" s="16"/>
    </row>
    <row r="324" spans="1:9" ht="31.5" customHeight="1" x14ac:dyDescent="0.25">
      <c r="A324" s="16"/>
      <c r="B324" s="16"/>
      <c r="C324" s="16"/>
      <c r="D324" s="16"/>
      <c r="E324" s="16"/>
      <c r="F324" s="16"/>
      <c r="G324" s="16"/>
      <c r="H324" s="16"/>
      <c r="I324" s="16"/>
    </row>
    <row r="325" spans="1:9" ht="31.5" customHeight="1" x14ac:dyDescent="0.25">
      <c r="A325" s="16"/>
      <c r="B325" s="16"/>
      <c r="C325" s="16"/>
      <c r="D325" s="16"/>
      <c r="E325" s="16"/>
      <c r="F325" s="16"/>
      <c r="G325" s="16"/>
      <c r="H325" s="16"/>
      <c r="I325" s="16"/>
    </row>
    <row r="326" spans="1:9" ht="31.5" customHeight="1" x14ac:dyDescent="0.25">
      <c r="A326" s="16"/>
      <c r="B326" s="16"/>
      <c r="C326" s="16"/>
      <c r="D326" s="16"/>
      <c r="E326" s="16"/>
      <c r="F326" s="16"/>
      <c r="G326" s="16"/>
      <c r="H326" s="16"/>
      <c r="I326" s="16"/>
    </row>
    <row r="327" spans="1:9" ht="31.5" customHeight="1" x14ac:dyDescent="0.25">
      <c r="A327" s="16"/>
      <c r="B327" s="16"/>
      <c r="C327" s="16"/>
      <c r="D327" s="16"/>
      <c r="E327" s="16"/>
      <c r="F327" s="16"/>
      <c r="G327" s="16"/>
      <c r="H327" s="16"/>
      <c r="I327" s="16"/>
    </row>
    <row r="328" spans="1:9" ht="31.5" customHeight="1" x14ac:dyDescent="0.25">
      <c r="A328" s="16"/>
      <c r="B328" s="16"/>
      <c r="C328" s="16"/>
      <c r="D328" s="16"/>
      <c r="E328" s="16"/>
      <c r="F328" s="16"/>
      <c r="G328" s="16"/>
      <c r="H328" s="16"/>
      <c r="I328" s="16"/>
    </row>
    <row r="329" spans="1:9" ht="31.5" customHeight="1" x14ac:dyDescent="0.25">
      <c r="A329" s="16"/>
      <c r="B329" s="16"/>
      <c r="C329" s="16"/>
      <c r="D329" s="16"/>
      <c r="E329" s="16"/>
      <c r="F329" s="16"/>
      <c r="G329" s="16"/>
      <c r="H329" s="16"/>
      <c r="I329" s="16"/>
    </row>
    <row r="330" spans="1:9" ht="31.5" customHeight="1" x14ac:dyDescent="0.25">
      <c r="A330" s="16"/>
      <c r="B330" s="16"/>
      <c r="C330" s="16"/>
      <c r="D330" s="16"/>
      <c r="E330" s="16"/>
      <c r="F330" s="16"/>
      <c r="G330" s="16"/>
      <c r="H330" s="16"/>
      <c r="I330" s="16"/>
    </row>
    <row r="331" spans="1:9" ht="31.5" customHeight="1" x14ac:dyDescent="0.25">
      <c r="A331" s="16"/>
      <c r="B331" s="16"/>
      <c r="C331" s="16"/>
      <c r="D331" s="16"/>
      <c r="E331" s="16"/>
      <c r="F331" s="16"/>
      <c r="G331" s="16"/>
      <c r="H331" s="16"/>
      <c r="I331" s="16"/>
    </row>
    <row r="332" spans="1:9" ht="31.5" customHeight="1" x14ac:dyDescent="0.25">
      <c r="A332" s="16"/>
      <c r="B332" s="16"/>
      <c r="C332" s="16"/>
      <c r="D332" s="16"/>
      <c r="E332" s="16"/>
      <c r="F332" s="16"/>
      <c r="G332" s="16"/>
      <c r="H332" s="16"/>
      <c r="I332" s="16"/>
    </row>
    <row r="333" spans="1:9" ht="31.5" customHeight="1" x14ac:dyDescent="0.25">
      <c r="A333" s="16"/>
      <c r="B333" s="16"/>
      <c r="C333" s="16"/>
      <c r="D333" s="16"/>
      <c r="E333" s="16"/>
      <c r="F333" s="16"/>
      <c r="G333" s="16"/>
      <c r="H333" s="16"/>
      <c r="I333" s="16"/>
    </row>
    <row r="334" spans="1:9" ht="31.5" customHeight="1" x14ac:dyDescent="0.25">
      <c r="A334" s="16"/>
      <c r="B334" s="16"/>
      <c r="C334" s="16"/>
      <c r="D334" s="16"/>
      <c r="E334" s="16"/>
      <c r="F334" s="16"/>
      <c r="G334" s="16"/>
      <c r="H334" s="16"/>
      <c r="I334" s="16"/>
    </row>
    <row r="335" spans="1:9" ht="31.5" customHeight="1" x14ac:dyDescent="0.25">
      <c r="A335" s="16"/>
      <c r="B335" s="16"/>
      <c r="C335" s="16"/>
      <c r="D335" s="16"/>
      <c r="E335" s="16"/>
      <c r="F335" s="16"/>
      <c r="G335" s="16"/>
      <c r="H335" s="16"/>
      <c r="I335" s="16"/>
    </row>
    <row r="336" spans="1:9" ht="31.5" customHeight="1" x14ac:dyDescent="0.25">
      <c r="A336" s="16"/>
      <c r="B336" s="16"/>
      <c r="C336" s="16"/>
      <c r="D336" s="16"/>
      <c r="E336" s="16"/>
      <c r="F336" s="16"/>
      <c r="G336" s="16"/>
      <c r="H336" s="16"/>
      <c r="I336" s="16"/>
    </row>
    <row r="337" spans="1:9" ht="31.5" customHeight="1" x14ac:dyDescent="0.25">
      <c r="A337" s="16"/>
      <c r="B337" s="16"/>
      <c r="C337" s="16"/>
      <c r="D337" s="16"/>
      <c r="E337" s="16"/>
      <c r="F337" s="16"/>
      <c r="G337" s="16"/>
      <c r="H337" s="16"/>
      <c r="I337" s="16"/>
    </row>
    <row r="338" spans="1:9" ht="31.5" customHeight="1" x14ac:dyDescent="0.25">
      <c r="A338" s="16"/>
      <c r="B338" s="16"/>
      <c r="C338" s="16"/>
      <c r="D338" s="16"/>
      <c r="E338" s="16"/>
      <c r="F338" s="16"/>
      <c r="G338" s="16"/>
      <c r="H338" s="16"/>
      <c r="I338" s="16"/>
    </row>
    <row r="339" spans="1:9" ht="31.5" customHeight="1" x14ac:dyDescent="0.25">
      <c r="A339" s="16"/>
      <c r="B339" s="16"/>
      <c r="C339" s="16"/>
      <c r="D339" s="16"/>
      <c r="E339" s="16"/>
      <c r="F339" s="16"/>
      <c r="G339" s="16"/>
      <c r="H339" s="16"/>
      <c r="I339" s="16"/>
    </row>
    <row r="340" spans="1:9" ht="31.5" customHeight="1" x14ac:dyDescent="0.25">
      <c r="A340" s="16"/>
      <c r="B340" s="16"/>
      <c r="C340" s="16"/>
      <c r="D340" s="16"/>
      <c r="E340" s="16"/>
      <c r="F340" s="16"/>
      <c r="G340" s="16"/>
      <c r="H340" s="16"/>
      <c r="I340" s="16"/>
    </row>
    <row r="341" spans="1:9" ht="31.5" customHeight="1" x14ac:dyDescent="0.25">
      <c r="A341" s="16"/>
      <c r="B341" s="16"/>
      <c r="C341" s="16"/>
      <c r="D341" s="16"/>
      <c r="E341" s="16"/>
      <c r="F341" s="16"/>
      <c r="G341" s="16"/>
      <c r="H341" s="16"/>
      <c r="I341" s="16"/>
    </row>
    <row r="342" spans="1:9" ht="31.5" customHeight="1" x14ac:dyDescent="0.25">
      <c r="A342" s="16"/>
      <c r="B342" s="16"/>
      <c r="C342" s="16"/>
      <c r="D342" s="16"/>
      <c r="E342" s="16"/>
      <c r="F342" s="16"/>
      <c r="G342" s="16"/>
      <c r="H342" s="16"/>
      <c r="I342" s="16"/>
    </row>
    <row r="343" spans="1:9" ht="31.5" customHeight="1" x14ac:dyDescent="0.25">
      <c r="A343" s="16"/>
      <c r="B343" s="16"/>
      <c r="C343" s="16"/>
      <c r="D343" s="16"/>
      <c r="E343" s="16"/>
      <c r="F343" s="16"/>
      <c r="G343" s="16"/>
      <c r="H343" s="16"/>
      <c r="I343" s="16"/>
    </row>
    <row r="344" spans="1:9" ht="31.5" customHeight="1" x14ac:dyDescent="0.25">
      <c r="A344" s="16"/>
      <c r="B344" s="16"/>
      <c r="C344" s="16"/>
      <c r="D344" s="16"/>
      <c r="E344" s="16"/>
      <c r="F344" s="16"/>
      <c r="G344" s="16"/>
      <c r="H344" s="16"/>
      <c r="I344" s="16"/>
    </row>
    <row r="345" spans="1:9" ht="31.5" customHeight="1" x14ac:dyDescent="0.25">
      <c r="A345" s="16"/>
      <c r="B345" s="16"/>
      <c r="C345" s="16"/>
      <c r="D345" s="16"/>
      <c r="E345" s="16"/>
      <c r="F345" s="16"/>
      <c r="G345" s="16"/>
      <c r="H345" s="16"/>
      <c r="I345" s="16"/>
    </row>
    <row r="346" spans="1:9" ht="31.5" customHeight="1" x14ac:dyDescent="0.25">
      <c r="A346" s="16"/>
      <c r="B346" s="16"/>
      <c r="C346" s="16"/>
      <c r="D346" s="16"/>
      <c r="E346" s="16"/>
      <c r="F346" s="16"/>
      <c r="G346" s="16"/>
      <c r="H346" s="16"/>
      <c r="I346" s="16"/>
    </row>
    <row r="347" spans="1:9" ht="31.5" customHeight="1" x14ac:dyDescent="0.25">
      <c r="A347" s="16"/>
      <c r="B347" s="16"/>
      <c r="C347" s="16"/>
      <c r="D347" s="16"/>
      <c r="E347" s="16"/>
      <c r="F347" s="16"/>
      <c r="G347" s="16"/>
      <c r="H347" s="16"/>
      <c r="I347" s="16"/>
    </row>
    <row r="348" spans="1:9" ht="31.5" customHeight="1" x14ac:dyDescent="0.25">
      <c r="A348" s="16"/>
      <c r="B348" s="16"/>
      <c r="C348" s="16"/>
      <c r="D348" s="16"/>
      <c r="E348" s="16"/>
      <c r="F348" s="16"/>
      <c r="G348" s="16"/>
      <c r="H348" s="16"/>
      <c r="I348" s="16"/>
    </row>
    <row r="349" spans="1:9" ht="31.5" customHeight="1" x14ac:dyDescent="0.25">
      <c r="A349" s="16"/>
      <c r="B349" s="16"/>
      <c r="C349" s="16"/>
      <c r="D349" s="16"/>
      <c r="E349" s="16"/>
      <c r="F349" s="16"/>
      <c r="G349" s="16"/>
      <c r="H349" s="16"/>
      <c r="I349" s="16"/>
    </row>
    <row r="350" spans="1:9" ht="31.5" customHeight="1" x14ac:dyDescent="0.25">
      <c r="A350" s="16"/>
      <c r="B350" s="16"/>
      <c r="C350" s="16"/>
      <c r="D350" s="16"/>
      <c r="E350" s="16"/>
      <c r="F350" s="16"/>
      <c r="G350" s="16"/>
      <c r="H350" s="16"/>
      <c r="I350" s="16"/>
    </row>
    <row r="351" spans="1:9" ht="31.5" customHeight="1" x14ac:dyDescent="0.25">
      <c r="A351" s="16"/>
      <c r="B351" s="16"/>
      <c r="C351" s="16"/>
      <c r="D351" s="16"/>
      <c r="E351" s="16"/>
      <c r="F351" s="16"/>
      <c r="G351" s="16"/>
      <c r="H351" s="16"/>
      <c r="I351" s="16"/>
    </row>
    <row r="352" spans="1:9" ht="31.5" customHeight="1" x14ac:dyDescent="0.25">
      <c r="A352" s="16"/>
      <c r="B352" s="16"/>
      <c r="C352" s="16"/>
      <c r="D352" s="16"/>
      <c r="E352" s="16"/>
      <c r="F352" s="16"/>
      <c r="G352" s="16"/>
      <c r="H352" s="16"/>
      <c r="I352" s="16"/>
    </row>
    <row r="353" spans="1:9" ht="31.5" customHeight="1" x14ac:dyDescent="0.25">
      <c r="A353" s="16"/>
      <c r="B353" s="16"/>
      <c r="C353" s="16"/>
      <c r="D353" s="16"/>
      <c r="E353" s="16"/>
      <c r="F353" s="16"/>
      <c r="G353" s="16"/>
      <c r="H353" s="16"/>
      <c r="I353" s="16"/>
    </row>
    <row r="354" spans="1:9" ht="31.5" customHeight="1" x14ac:dyDescent="0.25">
      <c r="A354" s="16"/>
      <c r="B354" s="16"/>
      <c r="C354" s="16"/>
      <c r="D354" s="16"/>
      <c r="E354" s="16"/>
      <c r="F354" s="16"/>
      <c r="G354" s="16"/>
      <c r="H354" s="16"/>
      <c r="I354" s="16"/>
    </row>
    <row r="355" spans="1:9" ht="31.5" customHeight="1" x14ac:dyDescent="0.25">
      <c r="A355" s="16"/>
      <c r="B355" s="16"/>
      <c r="C355" s="16"/>
      <c r="D355" s="16"/>
      <c r="E355" s="16"/>
      <c r="F355" s="16"/>
      <c r="G355" s="16"/>
      <c r="H355" s="16"/>
      <c r="I355" s="16"/>
    </row>
    <row r="356" spans="1:9" ht="31.5" customHeight="1" x14ac:dyDescent="0.25">
      <c r="A356" s="16"/>
      <c r="B356" s="16"/>
      <c r="C356" s="16"/>
      <c r="D356" s="16"/>
      <c r="E356" s="16"/>
      <c r="F356" s="16"/>
      <c r="G356" s="16"/>
      <c r="H356" s="16"/>
      <c r="I356" s="16"/>
    </row>
    <row r="357" spans="1:9" ht="31.5" customHeight="1" x14ac:dyDescent="0.25">
      <c r="A357" s="16"/>
      <c r="B357" s="16"/>
      <c r="C357" s="16"/>
      <c r="D357" s="16"/>
      <c r="E357" s="16"/>
      <c r="F357" s="16"/>
      <c r="G357" s="16"/>
      <c r="H357" s="16"/>
      <c r="I357" s="16"/>
    </row>
    <row r="358" spans="1:9" ht="31.5" customHeight="1" x14ac:dyDescent="0.25">
      <c r="A358" s="16"/>
      <c r="B358" s="16"/>
      <c r="C358" s="16"/>
      <c r="D358" s="16"/>
      <c r="E358" s="16"/>
      <c r="F358" s="16"/>
      <c r="G358" s="16"/>
      <c r="H358" s="16"/>
      <c r="I358" s="16"/>
    </row>
    <row r="359" spans="1:9" ht="31.5" customHeight="1" x14ac:dyDescent="0.25">
      <c r="A359" s="16"/>
      <c r="B359" s="16"/>
      <c r="C359" s="16"/>
      <c r="D359" s="16"/>
      <c r="E359" s="16"/>
      <c r="F359" s="16"/>
      <c r="G359" s="16"/>
      <c r="H359" s="16"/>
      <c r="I359" s="16"/>
    </row>
    <row r="360" spans="1:9" ht="31.5" customHeight="1" x14ac:dyDescent="0.25">
      <c r="A360" s="16"/>
      <c r="B360" s="16"/>
      <c r="C360" s="16"/>
      <c r="D360" s="16"/>
      <c r="E360" s="16"/>
      <c r="F360" s="16"/>
      <c r="G360" s="16"/>
      <c r="H360" s="16"/>
      <c r="I360" s="16"/>
    </row>
    <row r="361" spans="1:9" ht="31.5" customHeight="1" x14ac:dyDescent="0.25">
      <c r="A361" s="16"/>
      <c r="B361" s="16"/>
      <c r="C361" s="16"/>
      <c r="D361" s="16"/>
      <c r="E361" s="16"/>
      <c r="F361" s="16"/>
      <c r="G361" s="16"/>
      <c r="H361" s="16"/>
      <c r="I361" s="16"/>
    </row>
    <row r="362" spans="1:9" ht="31.5" customHeight="1" x14ac:dyDescent="0.25">
      <c r="A362" s="16"/>
      <c r="B362" s="16"/>
      <c r="C362" s="16"/>
      <c r="D362" s="16"/>
      <c r="E362" s="16"/>
      <c r="F362" s="16"/>
      <c r="G362" s="16"/>
      <c r="H362" s="16"/>
      <c r="I362" s="16"/>
    </row>
    <row r="363" spans="1:9" ht="31.5" customHeight="1" x14ac:dyDescent="0.25">
      <c r="A363" s="16"/>
      <c r="B363" s="16"/>
      <c r="C363" s="16"/>
      <c r="D363" s="16"/>
      <c r="E363" s="16"/>
      <c r="F363" s="16"/>
      <c r="G363" s="16"/>
      <c r="H363" s="16"/>
      <c r="I363" s="16"/>
    </row>
    <row r="364" spans="1:9" ht="31.5" customHeight="1" x14ac:dyDescent="0.25">
      <c r="A364" s="16"/>
      <c r="B364" s="16"/>
      <c r="C364" s="16"/>
      <c r="D364" s="16"/>
      <c r="E364" s="16"/>
      <c r="F364" s="16"/>
      <c r="G364" s="16"/>
      <c r="H364" s="16"/>
      <c r="I364" s="16"/>
    </row>
    <row r="365" spans="1:9" ht="31.5" customHeight="1" x14ac:dyDescent="0.25">
      <c r="A365" s="16"/>
      <c r="B365" s="16"/>
      <c r="C365" s="16"/>
      <c r="D365" s="16"/>
      <c r="E365" s="16"/>
      <c r="F365" s="16"/>
      <c r="G365" s="16"/>
      <c r="H365" s="16"/>
      <c r="I365" s="16"/>
    </row>
    <row r="366" spans="1:9" ht="31.5" customHeight="1" x14ac:dyDescent="0.25">
      <c r="A366" s="16"/>
      <c r="B366" s="16"/>
      <c r="C366" s="16"/>
      <c r="D366" s="16"/>
      <c r="E366" s="16"/>
      <c r="F366" s="16"/>
      <c r="G366" s="16"/>
      <c r="H366" s="16"/>
      <c r="I366" s="16"/>
    </row>
    <row r="367" spans="1:9" ht="31.5" customHeight="1" x14ac:dyDescent="0.25">
      <c r="A367" s="16"/>
      <c r="B367" s="16"/>
      <c r="C367" s="16"/>
      <c r="D367" s="16"/>
      <c r="E367" s="16"/>
      <c r="F367" s="16"/>
      <c r="G367" s="16"/>
      <c r="H367" s="16"/>
      <c r="I367" s="16"/>
    </row>
    <row r="368" spans="1:9" ht="31.5" customHeight="1" x14ac:dyDescent="0.25">
      <c r="A368" s="16"/>
      <c r="B368" s="16"/>
      <c r="C368" s="16"/>
      <c r="D368" s="16"/>
      <c r="E368" s="16"/>
      <c r="F368" s="16"/>
      <c r="G368" s="16"/>
      <c r="H368" s="16"/>
      <c r="I368" s="16"/>
    </row>
    <row r="369" spans="1:9" ht="31.5" customHeight="1" x14ac:dyDescent="0.25">
      <c r="A369" s="16"/>
      <c r="B369" s="16"/>
      <c r="C369" s="16"/>
      <c r="D369" s="16"/>
      <c r="E369" s="16"/>
      <c r="F369" s="16"/>
      <c r="G369" s="16"/>
      <c r="H369" s="16"/>
      <c r="I369" s="16"/>
    </row>
    <row r="370" spans="1:9" ht="31.5" customHeight="1" x14ac:dyDescent="0.25">
      <c r="A370" s="30"/>
      <c r="B370" s="31"/>
      <c r="C370" s="31"/>
      <c r="D370" s="31"/>
      <c r="E370" s="32"/>
      <c r="F370" s="32"/>
      <c r="G370" s="13"/>
      <c r="H370" s="20"/>
      <c r="I370" s="16"/>
    </row>
    <row r="371" spans="1:9" ht="31.5" customHeight="1" x14ac:dyDescent="0.25">
      <c r="A371" s="16"/>
      <c r="B371" s="16"/>
      <c r="C371" s="16"/>
      <c r="D371" s="16"/>
      <c r="E371" s="16"/>
      <c r="F371" s="16"/>
      <c r="G371" s="16"/>
      <c r="H371" s="16"/>
      <c r="I371" s="16"/>
    </row>
    <row r="372" spans="1:9" ht="31.5" customHeight="1" x14ac:dyDescent="0.25">
      <c r="I372" s="16"/>
    </row>
    <row r="373" spans="1:9" ht="31.5" customHeight="1" x14ac:dyDescent="0.25">
      <c r="A373" s="16"/>
      <c r="B373" s="16"/>
      <c r="C373" s="16"/>
      <c r="D373" s="16"/>
      <c r="E373" s="16"/>
      <c r="F373" s="16"/>
      <c r="G373" s="16"/>
      <c r="H373" s="16"/>
      <c r="I373" s="16"/>
    </row>
    <row r="374" spans="1:9" ht="31.5" customHeight="1" x14ac:dyDescent="0.25">
      <c r="A374" s="16"/>
      <c r="B374" s="16"/>
      <c r="C374" s="16"/>
      <c r="D374" s="16"/>
      <c r="E374" s="16"/>
      <c r="F374" s="16"/>
      <c r="G374" s="16"/>
      <c r="H374" s="16"/>
      <c r="I374" s="16"/>
    </row>
    <row r="375" spans="1:9" ht="31.5" customHeight="1" x14ac:dyDescent="0.25">
      <c r="A375" s="16"/>
      <c r="B375" s="16"/>
      <c r="C375" s="16"/>
      <c r="D375" s="16"/>
      <c r="E375" s="16"/>
      <c r="F375" s="16"/>
      <c r="G375" s="16"/>
      <c r="H375" s="16"/>
      <c r="I375" s="16"/>
    </row>
    <row r="376" spans="1:9" ht="31.5" customHeight="1" x14ac:dyDescent="0.25">
      <c r="A376" s="16"/>
      <c r="B376" s="16"/>
      <c r="C376" s="16"/>
      <c r="D376" s="16"/>
      <c r="E376" s="16"/>
      <c r="F376" s="16"/>
      <c r="G376" s="16"/>
      <c r="H376" s="16"/>
      <c r="I376" s="16"/>
    </row>
    <row r="377" spans="1:9" ht="31.5" customHeight="1" x14ac:dyDescent="0.25">
      <c r="A377" s="16"/>
      <c r="B377" s="16"/>
      <c r="C377" s="16"/>
      <c r="D377" s="16"/>
      <c r="E377" s="16"/>
      <c r="F377" s="16"/>
      <c r="G377" s="16"/>
      <c r="H377" s="16"/>
      <c r="I377" s="16"/>
    </row>
    <row r="378" spans="1:9" ht="31.5" customHeight="1" x14ac:dyDescent="0.25">
      <c r="A378" s="16"/>
      <c r="B378" s="16"/>
      <c r="C378" s="16"/>
      <c r="D378" s="16"/>
      <c r="E378" s="16"/>
      <c r="F378" s="16"/>
      <c r="G378" s="16"/>
      <c r="H378" s="16"/>
      <c r="I378" s="16"/>
    </row>
    <row r="379" spans="1:9" ht="31.5" customHeight="1" x14ac:dyDescent="0.25">
      <c r="A379" s="16"/>
      <c r="B379" s="16"/>
      <c r="C379" s="16"/>
      <c r="D379" s="16"/>
      <c r="E379" s="16"/>
      <c r="F379" s="16"/>
      <c r="G379" s="16"/>
      <c r="H379" s="16"/>
      <c r="I379" s="16"/>
    </row>
    <row r="380" spans="1:9" ht="31.5" customHeight="1" x14ac:dyDescent="0.25">
      <c r="A380" s="16"/>
      <c r="B380" s="16"/>
      <c r="C380" s="16"/>
      <c r="D380" s="16"/>
      <c r="E380" s="16"/>
      <c r="F380" s="16"/>
      <c r="G380" s="16"/>
      <c r="H380" s="16"/>
      <c r="I380" s="16"/>
    </row>
    <row r="381" spans="1:9" ht="31.5" customHeight="1" x14ac:dyDescent="0.25">
      <c r="A381" s="16"/>
      <c r="B381" s="16"/>
      <c r="C381" s="16"/>
      <c r="D381" s="16"/>
      <c r="E381" s="16"/>
      <c r="F381" s="16"/>
      <c r="G381" s="16"/>
      <c r="H381" s="16"/>
      <c r="I381" s="16"/>
    </row>
    <row r="382" spans="1:9" ht="31.5" customHeight="1" x14ac:dyDescent="0.25">
      <c r="A382" s="16"/>
      <c r="B382" s="16"/>
      <c r="C382" s="16"/>
      <c r="D382" s="16"/>
      <c r="E382" s="16"/>
      <c r="F382" s="16"/>
      <c r="G382" s="16"/>
      <c r="H382" s="16"/>
      <c r="I382" s="16"/>
    </row>
    <row r="383" spans="1:9" ht="31.5" customHeight="1" x14ac:dyDescent="0.25">
      <c r="A383" s="16"/>
      <c r="B383" s="16"/>
      <c r="C383" s="16"/>
      <c r="D383" s="16"/>
      <c r="E383" s="16"/>
      <c r="F383" s="16"/>
      <c r="G383" s="16"/>
      <c r="H383" s="16"/>
      <c r="I383" s="16"/>
    </row>
    <row r="384" spans="1:9" ht="31.5" customHeight="1" x14ac:dyDescent="0.25">
      <c r="A384" s="16"/>
      <c r="B384" s="16"/>
      <c r="C384" s="16"/>
      <c r="D384" s="16"/>
      <c r="E384" s="16"/>
      <c r="F384" s="16"/>
      <c r="G384" s="16"/>
      <c r="H384" s="16"/>
      <c r="I384" s="16"/>
    </row>
    <row r="385" spans="1:9" ht="31.5" customHeight="1" x14ac:dyDescent="0.25">
      <c r="A385" s="16"/>
      <c r="B385" s="16"/>
      <c r="C385" s="16"/>
      <c r="D385" s="16"/>
      <c r="E385" s="16"/>
      <c r="F385" s="16"/>
      <c r="G385" s="16"/>
      <c r="H385" s="16"/>
      <c r="I385" s="16"/>
    </row>
    <row r="386" spans="1:9" ht="31.5" customHeight="1" x14ac:dyDescent="0.25">
      <c r="A386" s="16"/>
      <c r="B386" s="16"/>
      <c r="C386" s="16"/>
      <c r="D386" s="16"/>
      <c r="E386" s="16"/>
      <c r="F386" s="16"/>
      <c r="G386" s="16"/>
      <c r="H386" s="16"/>
      <c r="I386" s="16"/>
    </row>
    <row r="387" spans="1:9" ht="31.5" customHeight="1" x14ac:dyDescent="0.25">
      <c r="A387" s="16"/>
      <c r="B387" s="16"/>
      <c r="C387" s="16"/>
      <c r="D387" s="16"/>
      <c r="E387" s="16"/>
      <c r="F387" s="16"/>
      <c r="G387" s="16"/>
      <c r="H387" s="16"/>
      <c r="I387" s="20"/>
    </row>
    <row r="388" spans="1:9" ht="31.5" customHeight="1" x14ac:dyDescent="0.25">
      <c r="A388" s="30"/>
      <c r="B388" s="31"/>
      <c r="C388" s="31"/>
      <c r="D388" s="31"/>
      <c r="E388" s="32"/>
      <c r="F388" s="32"/>
      <c r="G388" s="13"/>
      <c r="I388" s="16"/>
    </row>
    <row r="389" spans="1:9" ht="31.5" customHeight="1" x14ac:dyDescent="0.25">
      <c r="A389" s="16"/>
      <c r="B389" s="16"/>
      <c r="C389" s="16"/>
      <c r="D389" s="16"/>
      <c r="E389" s="16"/>
      <c r="F389" s="16"/>
      <c r="G389" s="16"/>
      <c r="H389" s="16"/>
    </row>
    <row r="390" spans="1:9" ht="31.5" customHeight="1" x14ac:dyDescent="0.25">
      <c r="A390" s="16"/>
      <c r="B390" s="16"/>
      <c r="C390" s="16"/>
      <c r="D390" s="16"/>
      <c r="E390" s="16"/>
      <c r="F390" s="16"/>
      <c r="G390" s="16"/>
      <c r="H390" s="16"/>
      <c r="I390" s="16"/>
    </row>
    <row r="391" spans="1:9" ht="31.5" customHeight="1" x14ac:dyDescent="0.25">
      <c r="A391" s="16"/>
      <c r="B391" s="16"/>
      <c r="C391" s="16"/>
      <c r="D391" s="16"/>
      <c r="E391" s="16"/>
      <c r="F391" s="16"/>
      <c r="G391" s="16"/>
      <c r="H391" s="16"/>
      <c r="I391" s="16"/>
    </row>
    <row r="392" spans="1:9" ht="31.5" customHeight="1" x14ac:dyDescent="0.25">
      <c r="A392" s="16"/>
      <c r="B392" s="16"/>
      <c r="C392" s="16"/>
      <c r="D392" s="16"/>
      <c r="E392" s="16"/>
      <c r="F392" s="16"/>
      <c r="G392" s="16"/>
      <c r="H392" s="16"/>
      <c r="I392" s="16"/>
    </row>
    <row r="393" spans="1:9" ht="31.5" customHeight="1" x14ac:dyDescent="0.25">
      <c r="A393" s="16"/>
      <c r="B393" s="16"/>
      <c r="C393" s="16"/>
      <c r="D393" s="16"/>
      <c r="E393" s="16"/>
      <c r="F393" s="16"/>
      <c r="G393" s="16"/>
      <c r="H393" s="16"/>
      <c r="I393" s="16"/>
    </row>
    <row r="394" spans="1:9" ht="31.5" customHeight="1" x14ac:dyDescent="0.25">
      <c r="A394" s="16"/>
      <c r="B394" s="16"/>
      <c r="C394" s="16"/>
      <c r="D394" s="16"/>
      <c r="E394" s="16"/>
      <c r="F394" s="16"/>
      <c r="G394" s="16"/>
      <c r="H394" s="16"/>
      <c r="I394" s="16"/>
    </row>
    <row r="395" spans="1:9" ht="31.5" customHeight="1" x14ac:dyDescent="0.25">
      <c r="A395" s="16"/>
      <c r="B395" s="16"/>
      <c r="C395" s="16"/>
      <c r="D395" s="16"/>
      <c r="E395" s="16"/>
      <c r="F395" s="16"/>
      <c r="G395" s="16"/>
      <c r="H395" s="16"/>
      <c r="I395" s="16"/>
    </row>
    <row r="396" spans="1:9" ht="31.5" customHeight="1" x14ac:dyDescent="0.25">
      <c r="A396" s="16"/>
      <c r="B396" s="16"/>
      <c r="C396" s="16"/>
      <c r="D396" s="16"/>
      <c r="E396" s="16"/>
      <c r="F396" s="16"/>
      <c r="G396" s="16"/>
      <c r="H396" s="16"/>
      <c r="I396" s="16"/>
    </row>
    <row r="397" spans="1:9" ht="31.5" customHeight="1" x14ac:dyDescent="0.25">
      <c r="A397" s="16"/>
      <c r="B397" s="16"/>
      <c r="C397" s="16"/>
      <c r="D397" s="16"/>
      <c r="E397" s="16"/>
      <c r="F397" s="16"/>
      <c r="G397" s="16"/>
      <c r="H397" s="16"/>
      <c r="I397" s="16"/>
    </row>
    <row r="398" spans="1:9" ht="31.5" customHeight="1" x14ac:dyDescent="0.25">
      <c r="A398" s="16"/>
      <c r="B398" s="16"/>
      <c r="C398" s="16"/>
      <c r="D398" s="16"/>
      <c r="E398" s="16"/>
      <c r="F398" s="16"/>
      <c r="G398" s="16"/>
      <c r="H398" s="16"/>
      <c r="I398" s="16"/>
    </row>
    <row r="399" spans="1:9" ht="31.5" customHeight="1" x14ac:dyDescent="0.25">
      <c r="A399" s="16"/>
      <c r="B399" s="16"/>
      <c r="C399" s="16"/>
      <c r="D399" s="16"/>
      <c r="E399" s="16"/>
      <c r="F399" s="16"/>
      <c r="G399" s="16"/>
      <c r="H399" s="16"/>
      <c r="I399" s="16"/>
    </row>
    <row r="400" spans="1:9" ht="31.5" customHeight="1" x14ac:dyDescent="0.25">
      <c r="A400" s="30"/>
      <c r="B400" s="31"/>
      <c r="C400" s="31"/>
      <c r="D400" s="31"/>
      <c r="E400" s="32"/>
      <c r="F400" s="32"/>
      <c r="G400" s="13"/>
      <c r="I400" s="16"/>
    </row>
    <row r="401" spans="1:9" ht="31.5" customHeight="1" x14ac:dyDescent="0.25">
      <c r="A401" s="30"/>
      <c r="B401" s="31"/>
      <c r="C401" s="31"/>
      <c r="D401" s="31"/>
      <c r="E401" s="32"/>
      <c r="F401" s="32"/>
      <c r="G401" s="13"/>
      <c r="I401" s="16"/>
    </row>
    <row r="402" spans="1:9" ht="31.5" customHeight="1" x14ac:dyDescent="0.25">
      <c r="A402" s="30"/>
      <c r="B402" s="31"/>
      <c r="C402" s="31"/>
      <c r="D402" s="31"/>
      <c r="E402" s="32"/>
      <c r="F402" s="32"/>
      <c r="G402" s="13"/>
      <c r="I402" s="16"/>
    </row>
    <row r="403" spans="1:9" ht="31.5" customHeight="1" x14ac:dyDescent="0.25">
      <c r="A403" s="30"/>
      <c r="B403" s="36"/>
      <c r="C403" s="36"/>
      <c r="D403" s="36"/>
      <c r="E403" s="32"/>
      <c r="F403" s="32"/>
      <c r="G403" s="13"/>
      <c r="I403" s="16"/>
    </row>
    <row r="404" spans="1:9" ht="31.5" customHeight="1" x14ac:dyDescent="0.25">
      <c r="A404" s="30"/>
      <c r="B404" s="37"/>
      <c r="C404" s="37"/>
      <c r="D404" s="37"/>
      <c r="E404" s="32"/>
      <c r="F404" s="32"/>
      <c r="G404" s="13"/>
      <c r="I404" s="16"/>
    </row>
    <row r="405" spans="1:9" ht="31.5" customHeight="1" x14ac:dyDescent="0.25">
      <c r="A405" s="30"/>
      <c r="B405" s="31"/>
      <c r="C405" s="31"/>
      <c r="D405" s="31"/>
      <c r="E405" s="32"/>
      <c r="F405" s="32"/>
      <c r="G405" s="13"/>
    </row>
    <row r="406" spans="1:9" ht="31.5" customHeight="1" x14ac:dyDescent="0.25">
      <c r="I406" s="16"/>
    </row>
    <row r="407" spans="1:9" ht="31.5" customHeight="1" x14ac:dyDescent="0.25">
      <c r="I407" s="16"/>
    </row>
    <row r="408" spans="1:9" ht="31.5" customHeight="1" x14ac:dyDescent="0.25">
      <c r="I408" s="16"/>
    </row>
    <row r="409" spans="1:9" ht="31.5" customHeight="1" x14ac:dyDescent="0.25">
      <c r="I409" s="16"/>
    </row>
    <row r="410" spans="1:9" ht="31.5" customHeight="1" x14ac:dyDescent="0.25">
      <c r="I410" s="16"/>
    </row>
    <row r="411" spans="1:9" ht="31.5" customHeight="1" x14ac:dyDescent="0.25">
      <c r="I411" s="16"/>
    </row>
    <row r="412" spans="1:9" ht="31.5" customHeight="1" x14ac:dyDescent="0.25">
      <c r="I412" s="16"/>
    </row>
    <row r="413" spans="1:9" ht="31.5" customHeight="1" x14ac:dyDescent="0.25">
      <c r="I413" s="16"/>
    </row>
    <row r="414" spans="1:9" ht="31.5" customHeight="1" x14ac:dyDescent="0.25">
      <c r="I414" s="16"/>
    </row>
    <row r="415" spans="1:9" ht="31.5" customHeight="1" x14ac:dyDescent="0.25">
      <c r="I415" s="16"/>
    </row>
    <row r="416" spans="1:9" ht="31.5" customHeight="1" x14ac:dyDescent="0.25">
      <c r="H416" s="41"/>
      <c r="I416" s="16"/>
    </row>
    <row r="417" spans="1:8" ht="31.5" customHeight="1" x14ac:dyDescent="0.25"/>
    <row r="418" spans="1:8" ht="31.5" customHeight="1" x14ac:dyDescent="0.25"/>
    <row r="419" spans="1:8" ht="31.5" customHeight="1" x14ac:dyDescent="0.25"/>
    <row r="420" spans="1:8" ht="31.5" customHeight="1" x14ac:dyDescent="0.25">
      <c r="A420" s="16"/>
      <c r="B420" s="16"/>
      <c r="C420" s="16"/>
      <c r="D420" s="16"/>
      <c r="E420" s="16"/>
      <c r="F420" s="16"/>
      <c r="G420" s="16"/>
      <c r="H420" s="16"/>
    </row>
    <row r="421" spans="1:8" ht="31.5" customHeight="1" x14ac:dyDescent="0.25">
      <c r="A421" s="16"/>
      <c r="B421" s="16"/>
      <c r="C421" s="16"/>
      <c r="D421" s="16"/>
      <c r="E421" s="16"/>
      <c r="F421" s="16"/>
      <c r="G421" s="16"/>
      <c r="H421" s="16"/>
    </row>
    <row r="422" spans="1:8" ht="31.5" customHeight="1" x14ac:dyDescent="0.25">
      <c r="A422" s="16"/>
      <c r="B422" s="16"/>
      <c r="C422" s="16"/>
      <c r="D422" s="16"/>
      <c r="E422" s="16"/>
      <c r="F422" s="16"/>
      <c r="G422" s="16"/>
      <c r="H422" s="16"/>
    </row>
    <row r="423" spans="1:8" ht="31.5" customHeight="1" x14ac:dyDescent="0.25">
      <c r="A423" s="16"/>
      <c r="B423" s="16"/>
      <c r="C423" s="16"/>
      <c r="D423" s="16"/>
      <c r="E423" s="16"/>
      <c r="F423" s="16"/>
      <c r="G423" s="16"/>
      <c r="H423" s="16"/>
    </row>
    <row r="424" spans="1:8" x14ac:dyDescent="0.25">
      <c r="A424" s="16"/>
      <c r="B424" s="16"/>
      <c r="C424" s="16"/>
      <c r="D424" s="16"/>
      <c r="E424" s="16"/>
      <c r="F424" s="16"/>
      <c r="G424" s="16"/>
      <c r="H424" s="16"/>
    </row>
    <row r="425" spans="1:8" x14ac:dyDescent="0.25">
      <c r="A425" s="16"/>
      <c r="B425" s="16"/>
      <c r="C425" s="16"/>
      <c r="D425" s="16"/>
      <c r="E425" s="16"/>
      <c r="F425" s="16"/>
      <c r="G425" s="16"/>
      <c r="H425" s="16"/>
    </row>
    <row r="433" spans="9:9" x14ac:dyDescent="0.25">
      <c r="I433" s="41"/>
    </row>
    <row r="437" spans="9:9" x14ac:dyDescent="0.25">
      <c r="I437" s="16"/>
    </row>
    <row r="438" spans="9:9" x14ac:dyDescent="0.25">
      <c r="I438" s="16"/>
    </row>
    <row r="439" spans="9:9" x14ac:dyDescent="0.25">
      <c r="I439" s="16"/>
    </row>
    <row r="440" spans="9:9" x14ac:dyDescent="0.25">
      <c r="I440" s="16"/>
    </row>
    <row r="441" spans="9:9" x14ac:dyDescent="0.25">
      <c r="I441" s="16"/>
    </row>
    <row r="442" spans="9:9" x14ac:dyDescent="0.25">
      <c r="I442" s="16"/>
    </row>
  </sheetData>
  <sortState ref="A93:F172">
    <sortCondition ref="A91"/>
  </sortState>
  <mergeCells count="63">
    <mergeCell ref="J280:K280"/>
    <mergeCell ref="J281:K281"/>
    <mergeCell ref="J282:K282"/>
    <mergeCell ref="J283:K283"/>
    <mergeCell ref="J289:K289"/>
    <mergeCell ref="J290:K290"/>
    <mergeCell ref="J291:K291"/>
    <mergeCell ref="J284:K284"/>
    <mergeCell ref="J285:K285"/>
    <mergeCell ref="J286:K286"/>
    <mergeCell ref="J287:K287"/>
    <mergeCell ref="J288:K288"/>
    <mergeCell ref="J268:L268"/>
    <mergeCell ref="J269:K269"/>
    <mergeCell ref="J278:K278"/>
    <mergeCell ref="J279:K279"/>
    <mergeCell ref="J270:K270"/>
    <mergeCell ref="J271:K271"/>
    <mergeCell ref="J272:K272"/>
    <mergeCell ref="J273:K273"/>
    <mergeCell ref="J274:K274"/>
    <mergeCell ref="J275:K275"/>
    <mergeCell ref="J276:K276"/>
    <mergeCell ref="J277:K277"/>
    <mergeCell ref="M144:Q144"/>
    <mergeCell ref="K135:L135"/>
    <mergeCell ref="J137:L137"/>
    <mergeCell ref="J138:K138"/>
    <mergeCell ref="J139:K139"/>
    <mergeCell ref="J140:K140"/>
    <mergeCell ref="J142:L142"/>
    <mergeCell ref="J143:K143"/>
    <mergeCell ref="J144:K144"/>
    <mergeCell ref="A1:B1"/>
    <mergeCell ref="A3:E3"/>
    <mergeCell ref="A4:B4"/>
    <mergeCell ref="A8:B8"/>
    <mergeCell ref="A257:B257"/>
    <mergeCell ref="A95:B95"/>
    <mergeCell ref="A135:B135"/>
    <mergeCell ref="A233:B233"/>
    <mergeCell ref="A282:G282"/>
    <mergeCell ref="J48:K48"/>
    <mergeCell ref="J49:K49"/>
    <mergeCell ref="J50:K50"/>
    <mergeCell ref="J51:K51"/>
    <mergeCell ref="J98:L98"/>
    <mergeCell ref="J99:K99"/>
    <mergeCell ref="J101:K101"/>
    <mergeCell ref="J102:K102"/>
    <mergeCell ref="J103:K103"/>
    <mergeCell ref="J130:L130"/>
    <mergeCell ref="K131:L131"/>
    <mergeCell ref="K132:L132"/>
    <mergeCell ref="K133:L133"/>
    <mergeCell ref="K134:L134"/>
    <mergeCell ref="J145:K145"/>
    <mergeCell ref="I247:I251"/>
    <mergeCell ref="J42:K42"/>
    <mergeCell ref="J43:K43"/>
    <mergeCell ref="J44:K44"/>
    <mergeCell ref="J45:K45"/>
    <mergeCell ref="J100:K100"/>
  </mergeCells>
  <conditionalFormatting sqref="E370:F370 E372:F372 E388:F388 E400:F406 E414:F419 E426:F65752 F257:G257 C258:D278 F233:G233 F135:G135 G95 G7 E1:F7 C66:F67 C10:D93 C96:D134 E9:F286 C6:D7">
    <cfRule type="cellIs" dxfId="3" priority="9" stopIfTrue="1" operator="equal">
      <formula>"1169.59"</formula>
    </cfRule>
  </conditionalFormatting>
  <conditionalFormatting sqref="G1:G1048576">
    <cfRule type="cellIs" dxfId="2" priority="6" operator="equal">
      <formula>272.98</formula>
    </cfRule>
    <cfRule type="cellIs" dxfId="1" priority="7" operator="equal">
      <formula>545.96</formula>
    </cfRule>
  </conditionalFormatting>
  <conditionalFormatting sqref="C247:D251">
    <cfRule type="cellIs" dxfId="0" priority="1" stopIfTrue="1" operator="equal">
      <formula>"1169.59"</formula>
    </cfRule>
  </conditionalFormatting>
  <pageMargins left="0.25" right="0.25" top="0.75" bottom="0.75" header="0.3" footer="0.3"/>
  <pageSetup scale="87" orientation="landscape" r:id="rId1"/>
  <colBreaks count="1" manualBreakCount="1">
    <brk id="7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"/>
  <sheetViews>
    <sheetView workbookViewId="0">
      <selection activeCell="A10" sqref="A10"/>
    </sheetView>
  </sheetViews>
  <sheetFormatPr defaultRowHeight="15" x14ac:dyDescent="0.25"/>
  <cols>
    <col min="1" max="1" width="11.5703125" style="7" customWidth="1"/>
    <col min="2" max="2" width="54" customWidth="1"/>
    <col min="3" max="3" width="9.85546875" customWidth="1"/>
    <col min="4" max="5" width="7.5703125" style="8" customWidth="1"/>
    <col min="6" max="7" width="7.5703125" customWidth="1"/>
    <col min="8" max="8" width="11.7109375" bestFit="1" customWidth="1"/>
    <col min="9" max="9" width="12.42578125" bestFit="1" customWidth="1"/>
    <col min="10" max="10" width="10.5703125" bestFit="1" customWidth="1"/>
    <col min="11" max="11" width="14.140625" customWidth="1"/>
    <col min="12" max="12" width="11.7109375" customWidth="1"/>
    <col min="13" max="14" width="10.140625" bestFit="1" customWidth="1"/>
  </cols>
  <sheetData>
    <row r="1" spans="1:11" ht="12.75" customHeight="1" x14ac:dyDescent="0.25">
      <c r="A1" s="55"/>
      <c r="B1" s="56"/>
      <c r="C1" s="56"/>
      <c r="D1" s="57"/>
      <c r="E1" s="57"/>
      <c r="F1" s="56"/>
      <c r="G1" s="57"/>
      <c r="H1" s="8"/>
    </row>
    <row r="2" spans="1:11" ht="12.75" customHeight="1" x14ac:dyDescent="0.25">
      <c r="A2" s="55"/>
      <c r="B2" s="56"/>
      <c r="C2" s="56"/>
      <c r="D2" s="57"/>
      <c r="E2" s="57"/>
      <c r="F2" s="56"/>
      <c r="G2" s="57"/>
      <c r="H2" s="8"/>
    </row>
    <row r="3" spans="1:11" ht="12.75" customHeight="1" x14ac:dyDescent="0.25">
      <c r="A3" s="55"/>
      <c r="B3" s="56"/>
      <c r="C3" s="56"/>
      <c r="D3" s="57"/>
      <c r="E3" s="57"/>
      <c r="F3" s="56"/>
      <c r="G3" s="57"/>
      <c r="H3" s="8"/>
    </row>
    <row r="4" spans="1:11" ht="12.75" customHeight="1" x14ac:dyDescent="0.25">
      <c r="A4" s="55"/>
      <c r="B4" s="56"/>
      <c r="C4" s="56"/>
      <c r="D4" s="57"/>
      <c r="E4" s="57"/>
      <c r="F4" s="56"/>
      <c r="G4" s="57"/>
      <c r="H4" s="8"/>
    </row>
    <row r="5" spans="1:11" ht="12.75" customHeight="1" x14ac:dyDescent="0.25">
      <c r="A5" s="245" t="s">
        <v>466</v>
      </c>
      <c r="B5" s="246"/>
      <c r="C5" s="58" t="s">
        <v>463</v>
      </c>
      <c r="E5" s="102">
        <v>6511</v>
      </c>
      <c r="H5" s="8"/>
    </row>
    <row r="6" spans="1:11" ht="12.75" customHeight="1" x14ac:dyDescent="0.25">
      <c r="A6" s="245" t="s">
        <v>467</v>
      </c>
      <c r="B6" s="246"/>
      <c r="C6" s="58" t="s">
        <v>464</v>
      </c>
      <c r="E6" s="93" t="s">
        <v>465</v>
      </c>
      <c r="H6" s="8"/>
    </row>
    <row r="7" spans="1:11" ht="12.75" customHeight="1" x14ac:dyDescent="0.25">
      <c r="A7" s="245" t="s">
        <v>468</v>
      </c>
      <c r="B7" s="246"/>
      <c r="E7" s="57"/>
      <c r="H7" s="8"/>
    </row>
    <row r="8" spans="1:11" ht="12.75" customHeight="1" x14ac:dyDescent="0.25">
      <c r="A8" s="247" t="s">
        <v>1049</v>
      </c>
      <c r="B8" s="248"/>
      <c r="C8" s="248"/>
      <c r="D8" s="248"/>
      <c r="E8" s="248"/>
      <c r="F8" s="248"/>
      <c r="G8" s="248"/>
    </row>
    <row r="9" spans="1:11" ht="12.75" customHeight="1" x14ac:dyDescent="0.25">
      <c r="A9" s="247" t="s">
        <v>1079</v>
      </c>
      <c r="B9" s="248"/>
      <c r="C9" s="248"/>
      <c r="D9" s="248"/>
      <c r="E9" s="248"/>
      <c r="F9" s="248"/>
      <c r="G9" s="248"/>
    </row>
    <row r="10" spans="1:11" x14ac:dyDescent="0.25">
      <c r="B10" s="5"/>
      <c r="C10" s="5"/>
    </row>
    <row r="11" spans="1:11" ht="15.75" customHeight="1" x14ac:dyDescent="0.25">
      <c r="A11" s="241" t="s">
        <v>455</v>
      </c>
      <c r="B11" s="242"/>
      <c r="C11" s="242"/>
      <c r="D11" s="242"/>
      <c r="E11" s="242"/>
      <c r="F11" s="242"/>
      <c r="G11" s="238"/>
    </row>
    <row r="12" spans="1:11" ht="21.75" customHeight="1" x14ac:dyDescent="0.25">
      <c r="A12" s="251" t="s">
        <v>1</v>
      </c>
      <c r="B12" s="249" t="s">
        <v>0</v>
      </c>
      <c r="C12" s="249" t="s">
        <v>453</v>
      </c>
      <c r="D12" s="253" t="s">
        <v>452</v>
      </c>
      <c r="E12" s="249"/>
      <c r="F12" s="249"/>
      <c r="G12" s="249"/>
    </row>
    <row r="13" spans="1:11" ht="30.75" customHeight="1" x14ac:dyDescent="0.25">
      <c r="A13" s="252"/>
      <c r="B13" s="250"/>
      <c r="C13" s="249"/>
      <c r="D13" s="244" t="s">
        <v>3</v>
      </c>
      <c r="E13" s="244"/>
      <c r="F13" s="243" t="s">
        <v>2</v>
      </c>
      <c r="G13" s="243"/>
      <c r="I13" t="s">
        <v>310</v>
      </c>
      <c r="J13" t="s">
        <v>311</v>
      </c>
      <c r="K13" t="s">
        <v>312</v>
      </c>
    </row>
    <row r="14" spans="1:11" ht="14.25" customHeight="1" x14ac:dyDescent="0.25">
      <c r="A14" s="47" t="s">
        <v>454</v>
      </c>
      <c r="B14" s="6">
        <v>2</v>
      </c>
      <c r="C14" s="6">
        <v>3</v>
      </c>
      <c r="D14" s="239">
        <v>4</v>
      </c>
      <c r="E14" s="240"/>
      <c r="F14" s="237">
        <v>5</v>
      </c>
      <c r="G14" s="238"/>
    </row>
    <row r="15" spans="1:11" ht="18" customHeight="1" x14ac:dyDescent="0.25">
      <c r="A15" s="48"/>
      <c r="B15" s="3" t="s">
        <v>4</v>
      </c>
      <c r="C15" s="49"/>
      <c r="D15" s="233">
        <f>D16+D17+D18+D19</f>
        <v>0</v>
      </c>
      <c r="E15" s="234"/>
      <c r="F15" s="227">
        <v>0</v>
      </c>
      <c r="G15" s="228"/>
    </row>
    <row r="16" spans="1:11" ht="18" customHeight="1" x14ac:dyDescent="0.25">
      <c r="A16" s="60" t="s">
        <v>70</v>
      </c>
      <c r="B16" s="50" t="s">
        <v>5</v>
      </c>
      <c r="C16" s="51"/>
      <c r="D16" s="235">
        <f>I16</f>
        <v>0</v>
      </c>
      <c r="E16" s="236"/>
      <c r="F16" s="231">
        <v>0</v>
      </c>
      <c r="G16" s="232"/>
      <c r="I16">
        <f>SUMIF(('Bruto bilans'!$H$10:'Bruto bilans'!$H$94),"A.1.",('Bruto bilans'!$G$10:'Bruto bilans'!$G$94))</f>
        <v>0</v>
      </c>
    </row>
    <row r="17" spans="1:13" ht="26.25" customHeight="1" x14ac:dyDescent="0.25">
      <c r="A17" s="60" t="s">
        <v>71</v>
      </c>
      <c r="B17" s="50" t="s">
        <v>7</v>
      </c>
      <c r="C17" s="51"/>
      <c r="D17" s="235">
        <f t="shared" ref="D17:D19" si="0">I17</f>
        <v>45000</v>
      </c>
      <c r="E17" s="236"/>
      <c r="F17" s="231">
        <v>45000</v>
      </c>
      <c r="G17" s="232"/>
      <c r="I17">
        <f>SUMIF(('Bruto bilans'!$H$10:'Bruto bilans'!$H$94),"A.2.",('Bruto bilans'!$G$10:'Bruto bilans'!$G$94))</f>
        <v>45000</v>
      </c>
    </row>
    <row r="18" spans="1:13" ht="27.75" customHeight="1" x14ac:dyDescent="0.25">
      <c r="A18" s="60" t="s">
        <v>72</v>
      </c>
      <c r="B18" s="50" t="s">
        <v>6</v>
      </c>
      <c r="C18" s="51"/>
      <c r="D18" s="235">
        <f t="shared" si="0"/>
        <v>0</v>
      </c>
      <c r="E18" s="236"/>
      <c r="F18" s="231">
        <v>0</v>
      </c>
      <c r="G18" s="232"/>
      <c r="I18">
        <f>SUMIF(('Bruto bilans'!$H$10:'Bruto bilans'!$H$94),"A.3.",('Bruto bilans'!$G$10:'Bruto bilans'!$G$94))</f>
        <v>0</v>
      </c>
    </row>
    <row r="19" spans="1:13" ht="30.75" customHeight="1" x14ac:dyDescent="0.25">
      <c r="A19" s="60" t="s">
        <v>73</v>
      </c>
      <c r="B19" s="50" t="s">
        <v>450</v>
      </c>
      <c r="C19" s="51"/>
      <c r="D19" s="235">
        <f t="shared" si="0"/>
        <v>-45000</v>
      </c>
      <c r="E19" s="236"/>
      <c r="F19" s="231">
        <v>-45000</v>
      </c>
      <c r="G19" s="232"/>
      <c r="I19">
        <f>SUMIF(('Bruto bilans'!$H$10:'Bruto bilans'!$H$94),"A.4.",('Bruto bilans'!$G$10:'Bruto bilans'!$G$94))</f>
        <v>-45000</v>
      </c>
      <c r="K19" s="152"/>
    </row>
    <row r="20" spans="1:13" ht="29.25" customHeight="1" x14ac:dyDescent="0.25">
      <c r="A20" s="60"/>
      <c r="B20" s="3" t="s">
        <v>451</v>
      </c>
      <c r="C20" s="49"/>
      <c r="D20" s="233">
        <f>D21+D22+D23+D24+D25</f>
        <v>5660.1699999999983</v>
      </c>
      <c r="E20" s="234"/>
      <c r="F20" s="227">
        <v>6288.2200000000012</v>
      </c>
      <c r="G20" s="228"/>
      <c r="I20">
        <f>SUMIF(('Bruto bilans'!$H$10:'Bruto bilans'!$H$94),"B.",('Bruto bilans'!$G$10:'Bruto bilans'!$G$94))</f>
        <v>0</v>
      </c>
    </row>
    <row r="21" spans="1:13" ht="27.75" customHeight="1" x14ac:dyDescent="0.25">
      <c r="A21" s="60" t="s">
        <v>74</v>
      </c>
      <c r="B21" s="50" t="s">
        <v>8</v>
      </c>
      <c r="C21" s="51"/>
      <c r="D21" s="235">
        <f>I21</f>
        <v>0</v>
      </c>
      <c r="E21" s="236"/>
      <c r="F21" s="231">
        <v>0</v>
      </c>
      <c r="G21" s="232"/>
      <c r="I21">
        <f>SUMIF(('Bruto bilans'!$H$10:'Bruto bilans'!$H$94),"B.1.",('Bruto bilans'!$G$10:'Bruto bilans'!$G$94))</f>
        <v>0</v>
      </c>
    </row>
    <row r="22" spans="1:13" ht="27.75" customHeight="1" x14ac:dyDescent="0.25">
      <c r="A22" s="60" t="s">
        <v>75</v>
      </c>
      <c r="B22" s="50" t="s">
        <v>9</v>
      </c>
      <c r="C22" s="51"/>
      <c r="D22" s="235">
        <f t="shared" ref="D22:D25" si="1">I22</f>
        <v>100104.29999999999</v>
      </c>
      <c r="E22" s="236"/>
      <c r="F22" s="231">
        <v>99677.09</v>
      </c>
      <c r="G22" s="232"/>
      <c r="I22">
        <f>SUMIF(('Bruto bilans'!$H$10:'Bruto bilans'!$H$94),"B.2.",('Bruto bilans'!$G$10:'Bruto bilans'!$G$94))</f>
        <v>100104.29999999999</v>
      </c>
    </row>
    <row r="23" spans="1:13" ht="32.25" customHeight="1" x14ac:dyDescent="0.25">
      <c r="A23" s="60" t="s">
        <v>76</v>
      </c>
      <c r="B23" s="50" t="s">
        <v>10</v>
      </c>
      <c r="C23" s="51"/>
      <c r="D23" s="235">
        <f t="shared" si="1"/>
        <v>0</v>
      </c>
      <c r="E23" s="236"/>
      <c r="F23" s="231">
        <v>0</v>
      </c>
      <c r="G23" s="232"/>
      <c r="I23">
        <f>SUMIF(('Bruto bilans'!$H$10:'Bruto bilans'!$H$94),"B.3.",('Bruto bilans'!$G$10:'Bruto bilans'!$G$94))</f>
        <v>0</v>
      </c>
    </row>
    <row r="24" spans="1:13" ht="28.5" customHeight="1" x14ac:dyDescent="0.25">
      <c r="A24" s="60" t="s">
        <v>77</v>
      </c>
      <c r="B24" s="50" t="s">
        <v>11</v>
      </c>
      <c r="C24" s="51"/>
      <c r="D24" s="235">
        <f t="shared" si="1"/>
        <v>0</v>
      </c>
      <c r="E24" s="236"/>
      <c r="F24" s="231">
        <v>0</v>
      </c>
      <c r="G24" s="232"/>
      <c r="I24">
        <f>SUMIF(('Bruto bilans'!$H$10:'Bruto bilans'!$H$94),"B.4.",('Bruto bilans'!$G$10:'Bruto bilans'!$G$94))</f>
        <v>0</v>
      </c>
    </row>
    <row r="25" spans="1:13" ht="35.25" customHeight="1" x14ac:dyDescent="0.25">
      <c r="A25" s="60" t="s">
        <v>78</v>
      </c>
      <c r="B25" s="50" t="s">
        <v>456</v>
      </c>
      <c r="C25" s="51"/>
      <c r="D25" s="235">
        <f t="shared" si="1"/>
        <v>-94444.12999999999</v>
      </c>
      <c r="E25" s="236"/>
      <c r="F25" s="231">
        <v>-93388.87</v>
      </c>
      <c r="G25" s="232"/>
      <c r="I25">
        <f>SUMIF(('Bruto bilans'!$H$10:'Bruto bilans'!$H$94),"B.5.",('Bruto bilans'!$G$10:'Bruto bilans'!$G$94))</f>
        <v>-94444.12999999999</v>
      </c>
      <c r="K25" s="152"/>
    </row>
    <row r="26" spans="1:13" ht="18" customHeight="1" x14ac:dyDescent="0.25">
      <c r="A26" s="60"/>
      <c r="B26" s="3" t="s">
        <v>457</v>
      </c>
      <c r="C26" s="49"/>
      <c r="D26" s="233">
        <f>D27+D39</f>
        <v>4172801.7</v>
      </c>
      <c r="E26" s="234"/>
      <c r="F26" s="227">
        <v>4254395.4800000004</v>
      </c>
      <c r="G26" s="228"/>
      <c r="I26">
        <f>SUMIF(('Bruto bilans'!$H$10:'Bruto bilans'!$H$94),"C.",('Bruto bilans'!$G$10:'Bruto bilans'!$G$94))</f>
        <v>0</v>
      </c>
      <c r="K26" s="152">
        <f>+D26+D43+D48</f>
        <v>6207941.8499999996</v>
      </c>
    </row>
    <row r="27" spans="1:13" ht="28.5" customHeight="1" x14ac:dyDescent="0.25">
      <c r="A27" s="60"/>
      <c r="B27" s="50" t="s">
        <v>12</v>
      </c>
      <c r="C27" s="51"/>
      <c r="D27" s="233">
        <f>D28+D29+D30+D31+D32+D33+D34+D35+D36+D37+D38</f>
        <v>4172801.7</v>
      </c>
      <c r="E27" s="234"/>
      <c r="F27" s="227">
        <v>4254395.4800000004</v>
      </c>
      <c r="G27" s="228"/>
      <c r="I27">
        <f>SUMIF(('Bruto bilans'!$H$10:'Bruto bilans'!$H$94),"C.1.",('Bruto bilans'!$G$10:'Bruto bilans'!$G$94))</f>
        <v>0</v>
      </c>
      <c r="K27" s="8"/>
    </row>
    <row r="28" spans="1:13" ht="26.25" customHeight="1" x14ac:dyDescent="0.25">
      <c r="A28" s="60" t="s">
        <v>79</v>
      </c>
      <c r="B28" s="50" t="s">
        <v>13</v>
      </c>
      <c r="C28" s="51"/>
      <c r="D28" s="235">
        <f>I28</f>
        <v>0</v>
      </c>
      <c r="E28" s="236"/>
      <c r="F28" s="231">
        <v>0</v>
      </c>
      <c r="G28" s="232"/>
      <c r="I28">
        <f>SUMIF(('Bruto bilans'!$H$10:'Bruto bilans'!$H$94),"C.1.1.",('Bruto bilans'!$G$10:'Bruto bilans'!$G$94))</f>
        <v>0</v>
      </c>
    </row>
    <row r="29" spans="1:13" ht="26.25" customHeight="1" x14ac:dyDescent="0.25">
      <c r="A29" s="60" t="s">
        <v>80</v>
      </c>
      <c r="B29" s="50" t="s">
        <v>14</v>
      </c>
      <c r="C29" s="51"/>
      <c r="D29" s="235">
        <f t="shared" ref="D29:D38" si="2">I29</f>
        <v>3093151.8600000003</v>
      </c>
      <c r="E29" s="236"/>
      <c r="F29" s="231">
        <v>3172556.08</v>
      </c>
      <c r="G29" s="232"/>
      <c r="H29" s="152"/>
      <c r="I29">
        <f>SUMIF(('Bruto bilans'!$H$10:'Bruto bilans'!$H$94),"C.1.2.",('Bruto bilans'!$G$10:'Bruto bilans'!$G$94))</f>
        <v>3093151.8600000003</v>
      </c>
      <c r="M29" s="8"/>
    </row>
    <row r="30" spans="1:13" ht="26.25" customHeight="1" x14ac:dyDescent="0.25">
      <c r="A30" s="60" t="s">
        <v>81</v>
      </c>
      <c r="B30" s="50" t="s">
        <v>15</v>
      </c>
      <c r="C30" s="51"/>
      <c r="D30" s="235">
        <f t="shared" si="2"/>
        <v>0</v>
      </c>
      <c r="E30" s="236"/>
      <c r="F30" s="231">
        <v>0</v>
      </c>
      <c r="G30" s="232"/>
      <c r="I30">
        <f>SUMIF(('Bruto bilans'!$H$10:'Bruto bilans'!$H$94),"C.1.3.",('Bruto bilans'!$G$10:'Bruto bilans'!$G$94))</f>
        <v>0</v>
      </c>
    </row>
    <row r="31" spans="1:13" ht="26.25" customHeight="1" x14ac:dyDescent="0.25">
      <c r="A31" s="60" t="s">
        <v>82</v>
      </c>
      <c r="B31" s="50" t="s">
        <v>16</v>
      </c>
      <c r="C31" s="51"/>
      <c r="D31" s="235">
        <f t="shared" si="2"/>
        <v>0</v>
      </c>
      <c r="E31" s="236"/>
      <c r="F31" s="231">
        <v>0</v>
      </c>
      <c r="G31" s="232"/>
      <c r="H31" s="152"/>
      <c r="I31">
        <f>SUMIF(('Bruto bilans'!$H$10:'Bruto bilans'!$H$94),"C.1.4.",('Bruto bilans'!$G$10:'Bruto bilans'!$G$94))</f>
        <v>0</v>
      </c>
    </row>
    <row r="32" spans="1:13" ht="26.25" customHeight="1" x14ac:dyDescent="0.25">
      <c r="A32" s="60" t="s">
        <v>83</v>
      </c>
      <c r="B32" s="50" t="s">
        <v>17</v>
      </c>
      <c r="C32" s="51"/>
      <c r="D32" s="235">
        <f t="shared" si="2"/>
        <v>1030000</v>
      </c>
      <c r="E32" s="236"/>
      <c r="F32" s="231">
        <v>1030000</v>
      </c>
      <c r="G32" s="232"/>
      <c r="H32" s="152">
        <f>+D32+D45</f>
        <v>2230000</v>
      </c>
      <c r="I32">
        <f>SUMIF(('Bruto bilans'!$H$10:'Bruto bilans'!$H$94),"C.1.5.",('Bruto bilans'!$G$10:'Bruto bilans'!$G$94))</f>
        <v>1030000</v>
      </c>
    </row>
    <row r="33" spans="1:11" ht="26.25" customHeight="1" x14ac:dyDescent="0.25">
      <c r="A33" s="60" t="s">
        <v>84</v>
      </c>
      <c r="B33" s="50" t="s">
        <v>18</v>
      </c>
      <c r="C33" s="51"/>
      <c r="D33" s="235">
        <f t="shared" si="2"/>
        <v>0</v>
      </c>
      <c r="E33" s="236"/>
      <c r="F33" s="231">
        <v>0</v>
      </c>
      <c r="G33" s="232"/>
      <c r="I33">
        <f>SUMIF(('Bruto bilans'!$H$10:'Bruto bilans'!$H$94),"C.1.6.",('Bruto bilans'!$G$10:'Bruto bilans'!$G$94))</f>
        <v>0</v>
      </c>
    </row>
    <row r="34" spans="1:11" ht="18" customHeight="1" x14ac:dyDescent="0.25">
      <c r="A34" s="60" t="s">
        <v>85</v>
      </c>
      <c r="B34" s="50" t="s">
        <v>19</v>
      </c>
      <c r="C34" s="51"/>
      <c r="D34" s="235">
        <f t="shared" si="2"/>
        <v>0</v>
      </c>
      <c r="E34" s="236"/>
      <c r="F34" s="231">
        <v>0</v>
      </c>
      <c r="G34" s="232"/>
      <c r="I34">
        <f>SUMIF(('Bruto bilans'!$H$10:'Bruto bilans'!$H$94),"C.1.7.",('Bruto bilans'!$G$10:'Bruto bilans'!$G$94))</f>
        <v>0</v>
      </c>
    </row>
    <row r="35" spans="1:11" ht="26.25" customHeight="1" x14ac:dyDescent="0.25">
      <c r="A35" s="60" t="s">
        <v>86</v>
      </c>
      <c r="B35" s="50" t="s">
        <v>458</v>
      </c>
      <c r="C35" s="51"/>
      <c r="D35" s="235">
        <f t="shared" si="2"/>
        <v>0</v>
      </c>
      <c r="E35" s="236"/>
      <c r="F35" s="231">
        <v>0</v>
      </c>
      <c r="G35" s="232"/>
      <c r="I35">
        <f>SUMIF(('Bruto bilans'!$H$10:'Bruto bilans'!$H$94),"C.1.8.",('Bruto bilans'!$G$10:'Bruto bilans'!$G$94))</f>
        <v>0</v>
      </c>
    </row>
    <row r="36" spans="1:11" ht="26.25" customHeight="1" x14ac:dyDescent="0.25">
      <c r="A36" s="60" t="s">
        <v>87</v>
      </c>
      <c r="B36" s="50" t="s">
        <v>20</v>
      </c>
      <c r="C36" s="51"/>
      <c r="D36" s="235">
        <f t="shared" si="2"/>
        <v>0</v>
      </c>
      <c r="E36" s="236"/>
      <c r="F36" s="231">
        <v>0</v>
      </c>
      <c r="G36" s="232"/>
      <c r="I36">
        <f>SUMIF(('Bruto bilans'!$H$10:'Bruto bilans'!$H$94),"C.1.9.",('Bruto bilans'!$G$10:'Bruto bilans'!$G$94))</f>
        <v>0</v>
      </c>
    </row>
    <row r="37" spans="1:11" ht="26.25" customHeight="1" x14ac:dyDescent="0.25">
      <c r="A37" s="60" t="s">
        <v>88</v>
      </c>
      <c r="B37" s="50" t="s">
        <v>21</v>
      </c>
      <c r="C37" s="51"/>
      <c r="D37" s="235">
        <f t="shared" si="2"/>
        <v>49649.840000000004</v>
      </c>
      <c r="E37" s="236"/>
      <c r="F37" s="231">
        <v>51839.399999999994</v>
      </c>
      <c r="G37" s="232"/>
      <c r="I37">
        <f>SUMIF(('Bruto bilans'!$H$10:'Bruto bilans'!$H$94),"C.1.10.",('Bruto bilans'!$G$10:'Bruto bilans'!$G$94))</f>
        <v>49649.840000000004</v>
      </c>
    </row>
    <row r="38" spans="1:11" ht="26.25" customHeight="1" x14ac:dyDescent="0.25">
      <c r="A38" s="60" t="s">
        <v>89</v>
      </c>
      <c r="B38" s="50" t="s">
        <v>22</v>
      </c>
      <c r="C38" s="51"/>
      <c r="D38" s="235">
        <f t="shared" si="2"/>
        <v>0</v>
      </c>
      <c r="E38" s="236"/>
      <c r="F38" s="231">
        <v>0</v>
      </c>
      <c r="G38" s="232"/>
      <c r="I38">
        <f>SUMIF(('Bruto bilans'!$H$10:'Bruto bilans'!$H$94),"C.1.11.",('Bruto bilans'!$G$10:'Bruto bilans'!$G$94))</f>
        <v>0</v>
      </c>
    </row>
    <row r="39" spans="1:11" ht="27" customHeight="1" x14ac:dyDescent="0.25">
      <c r="A39" s="60"/>
      <c r="B39" s="50" t="s">
        <v>23</v>
      </c>
      <c r="C39" s="51"/>
      <c r="D39" s="233">
        <f>D40+D41+D42</f>
        <v>0</v>
      </c>
      <c r="E39" s="234"/>
      <c r="F39" s="227">
        <v>0</v>
      </c>
      <c r="G39" s="228"/>
      <c r="I39">
        <f>SUMIF(('Bruto bilans'!$H$10:'Bruto bilans'!$H$94),"C.2.",('Bruto bilans'!$G$10:'Bruto bilans'!$G$94))</f>
        <v>0</v>
      </c>
    </row>
    <row r="40" spans="1:11" ht="30.75" customHeight="1" x14ac:dyDescent="0.25">
      <c r="A40" s="60" t="s">
        <v>90</v>
      </c>
      <c r="B40" s="50" t="s">
        <v>24</v>
      </c>
      <c r="C40" s="51"/>
      <c r="D40" s="235">
        <f>I40</f>
        <v>0</v>
      </c>
      <c r="E40" s="236"/>
      <c r="F40" s="231">
        <v>0</v>
      </c>
      <c r="G40" s="232"/>
      <c r="I40">
        <f>SUMIF(('Bruto bilans'!$H$10:'Bruto bilans'!$H$94),"C.2.1.",('Bruto bilans'!$G$10:'Bruto bilans'!$G$94))</f>
        <v>0</v>
      </c>
    </row>
    <row r="41" spans="1:11" ht="28.5" customHeight="1" x14ac:dyDescent="0.25">
      <c r="A41" s="60" t="s">
        <v>91</v>
      </c>
      <c r="B41" s="50" t="s">
        <v>25</v>
      </c>
      <c r="C41" s="51"/>
      <c r="D41" s="235">
        <f t="shared" ref="D41:D42" si="3">I41</f>
        <v>0</v>
      </c>
      <c r="E41" s="236"/>
      <c r="F41" s="231">
        <v>0</v>
      </c>
      <c r="G41" s="232"/>
      <c r="I41">
        <f>SUMIF(('Bruto bilans'!$H$10:'Bruto bilans'!$H$94),"C.2.2.",('Bruto bilans'!$G$10:'Bruto bilans'!$G$94))</f>
        <v>0</v>
      </c>
    </row>
    <row r="42" spans="1:11" ht="30" customHeight="1" x14ac:dyDescent="0.25">
      <c r="A42" s="60" t="s">
        <v>92</v>
      </c>
      <c r="B42" s="50" t="s">
        <v>459</v>
      </c>
      <c r="C42" s="51"/>
      <c r="D42" s="235">
        <f t="shared" si="3"/>
        <v>0</v>
      </c>
      <c r="E42" s="236"/>
      <c r="F42" s="231">
        <v>0</v>
      </c>
      <c r="G42" s="232"/>
      <c r="I42">
        <f>SUMIF(('Bruto bilans'!$H$10:'Bruto bilans'!$H$94),"C.2.3.",('Bruto bilans'!$G$10:'Bruto bilans'!$G$94))</f>
        <v>0</v>
      </c>
    </row>
    <row r="43" spans="1:11" ht="18" customHeight="1" x14ac:dyDescent="0.25">
      <c r="A43" s="60"/>
      <c r="B43" s="3" t="s">
        <v>460</v>
      </c>
      <c r="C43" s="49"/>
      <c r="D43" s="233">
        <f>D44+D45+D46</f>
        <v>1328554.42</v>
      </c>
      <c r="E43" s="234"/>
      <c r="F43" s="227">
        <v>1466516.17</v>
      </c>
      <c r="G43" s="228"/>
      <c r="I43">
        <f>SUMIF(('Bruto bilans'!$H$10:'Bruto bilans'!$H$94),"D.",('Bruto bilans'!$G$10:'Bruto bilans'!$G$94))</f>
        <v>0</v>
      </c>
    </row>
    <row r="44" spans="1:11" ht="18" customHeight="1" x14ac:dyDescent="0.25">
      <c r="A44" s="60" t="s">
        <v>93</v>
      </c>
      <c r="B44" s="50" t="s">
        <v>26</v>
      </c>
      <c r="C44" s="51"/>
      <c r="D44" s="235">
        <f>I44</f>
        <v>128554.41999999998</v>
      </c>
      <c r="E44" s="236"/>
      <c r="F44" s="231">
        <v>126516.16999999998</v>
      </c>
      <c r="G44" s="232"/>
      <c r="I44">
        <f>SUMIF(('Bruto bilans'!$H$10:'Bruto bilans'!$H$94),"D.1.",('Bruto bilans'!$G$10:'Bruto bilans'!$G$94))</f>
        <v>128554.41999999998</v>
      </c>
      <c r="K44" s="8"/>
    </row>
    <row r="45" spans="1:11" ht="18" customHeight="1" x14ac:dyDescent="0.25">
      <c r="A45" s="60" t="s">
        <v>94</v>
      </c>
      <c r="B45" s="50" t="s">
        <v>27</v>
      </c>
      <c r="C45" s="51"/>
      <c r="D45" s="235">
        <f t="shared" ref="D45:D46" si="4">I45</f>
        <v>1200000</v>
      </c>
      <c r="E45" s="236"/>
      <c r="F45" s="231">
        <v>1340000</v>
      </c>
      <c r="G45" s="232"/>
      <c r="I45">
        <f>SUMIF(('Bruto bilans'!$H$10:'Bruto bilans'!$H$94),"D.2.",('Bruto bilans'!$G$10:'Bruto bilans'!$G$94))</f>
        <v>1200000</v>
      </c>
    </row>
    <row r="46" spans="1:11" ht="28.5" customHeight="1" x14ac:dyDescent="0.25">
      <c r="A46" s="60" t="s">
        <v>95</v>
      </c>
      <c r="B46" s="50" t="s">
        <v>28</v>
      </c>
      <c r="C46" s="51"/>
      <c r="D46" s="235">
        <f t="shared" si="4"/>
        <v>0</v>
      </c>
      <c r="E46" s="236"/>
      <c r="F46" s="231">
        <v>0</v>
      </c>
      <c r="G46" s="232"/>
      <c r="I46">
        <f>SUMIF(('Bruto bilans'!$H$10:'Bruto bilans'!$H$94),"D.3.",('Bruto bilans'!$G$10:'Bruto bilans'!$G$94))</f>
        <v>0</v>
      </c>
    </row>
    <row r="47" spans="1:11" ht="18" customHeight="1" x14ac:dyDescent="0.25">
      <c r="A47" s="60"/>
      <c r="B47" s="3" t="s">
        <v>461</v>
      </c>
      <c r="C47" s="49"/>
      <c r="D47" s="233">
        <f>D48+D49+D56</f>
        <v>1134505.2299999997</v>
      </c>
      <c r="E47" s="234"/>
      <c r="F47" s="227">
        <v>824737.11999999988</v>
      </c>
      <c r="G47" s="228"/>
      <c r="I47">
        <f>SUMIF(('Bruto bilans'!$H$10:'Bruto bilans'!$H$94),"E.",('Bruto bilans'!$G$10:'Bruto bilans'!$G$94))</f>
        <v>0</v>
      </c>
    </row>
    <row r="48" spans="1:11" ht="18" customHeight="1" x14ac:dyDescent="0.25">
      <c r="A48" s="60" t="s">
        <v>96</v>
      </c>
      <c r="B48" s="50" t="s">
        <v>29</v>
      </c>
      <c r="C48" s="51"/>
      <c r="D48" s="235">
        <f>I48</f>
        <v>706585.72999999975</v>
      </c>
      <c r="E48" s="236"/>
      <c r="F48" s="231">
        <v>372339.24999999983</v>
      </c>
      <c r="G48" s="232"/>
      <c r="I48">
        <f>SUMIF(('Bruto bilans'!$H$10:'Bruto bilans'!$H$94),"E.1.",('Bruto bilans'!$G$10:'Bruto bilans'!$G$94))</f>
        <v>706585.72999999975</v>
      </c>
    </row>
    <row r="49" spans="1:14" ht="18" customHeight="1" x14ac:dyDescent="0.25">
      <c r="A49" s="60"/>
      <c r="B49" s="50" t="s">
        <v>30</v>
      </c>
      <c r="C49" s="51"/>
      <c r="D49" s="233">
        <f>D50+D51+D52+D53+D54+D55</f>
        <v>427919.49999999994</v>
      </c>
      <c r="E49" s="234"/>
      <c r="F49" s="227">
        <v>452397.87</v>
      </c>
      <c r="G49" s="228"/>
      <c r="H49" s="8"/>
      <c r="I49">
        <f>SUMIF(('Bruto bilans'!$H$10:'Bruto bilans'!$H$94),"E.2.",('Bruto bilans'!$G$10:'Bruto bilans'!$G$94))</f>
        <v>0</v>
      </c>
    </row>
    <row r="50" spans="1:14" ht="26.25" customHeight="1" x14ac:dyDescent="0.25">
      <c r="A50" s="60" t="s">
        <v>97</v>
      </c>
      <c r="B50" s="50" t="s">
        <v>31</v>
      </c>
      <c r="C50" s="51"/>
      <c r="D50" s="235">
        <f>I50</f>
        <v>45201.099999999984</v>
      </c>
      <c r="E50" s="236"/>
      <c r="F50" s="231">
        <v>70828.960000000006</v>
      </c>
      <c r="G50" s="232"/>
      <c r="I50">
        <f>SUMIF(('Bruto bilans'!$H$10:'Bruto bilans'!$H$94),"E.2.1.",('Bruto bilans'!$G$10:'Bruto bilans'!$G$94))</f>
        <v>45201.099999999984</v>
      </c>
    </row>
    <row r="51" spans="1:14" ht="32.25" customHeight="1" x14ac:dyDescent="0.25">
      <c r="A51" s="60" t="s">
        <v>98</v>
      </c>
      <c r="B51" s="50" t="s">
        <v>32</v>
      </c>
      <c r="C51" s="51"/>
      <c r="D51" s="235">
        <f t="shared" ref="D51:D59" si="5">I51</f>
        <v>0</v>
      </c>
      <c r="E51" s="236"/>
      <c r="F51" s="231">
        <v>0</v>
      </c>
      <c r="G51" s="232"/>
      <c r="I51">
        <f>SUMIF(('Bruto bilans'!$H$10:'Bruto bilans'!$H$94),"E.2.2.",('Bruto bilans'!$G$10:'Bruto bilans'!$G$94))</f>
        <v>0</v>
      </c>
    </row>
    <row r="52" spans="1:14" ht="18" customHeight="1" x14ac:dyDescent="0.25">
      <c r="A52" s="60" t="s">
        <v>99</v>
      </c>
      <c r="B52" s="50" t="s">
        <v>33</v>
      </c>
      <c r="C52" s="51"/>
      <c r="D52" s="235">
        <f t="shared" si="5"/>
        <v>0</v>
      </c>
      <c r="E52" s="236"/>
      <c r="F52" s="231">
        <v>0</v>
      </c>
      <c r="G52" s="232"/>
      <c r="I52">
        <f>SUMIF(('Bruto bilans'!$H$10:'Bruto bilans'!$H$94),"E.2.3.",('Bruto bilans'!$G$10:'Bruto bilans'!$G$94))</f>
        <v>0</v>
      </c>
    </row>
    <row r="53" spans="1:14" ht="18" customHeight="1" x14ac:dyDescent="0.25">
      <c r="A53" s="60" t="s">
        <v>100</v>
      </c>
      <c r="B53" s="50" t="s">
        <v>34</v>
      </c>
      <c r="C53" s="51"/>
      <c r="D53" s="235">
        <f t="shared" si="5"/>
        <v>49993.919999999998</v>
      </c>
      <c r="E53" s="236"/>
      <c r="F53" s="231">
        <v>49993.919999999984</v>
      </c>
      <c r="G53" s="232"/>
      <c r="I53">
        <f>SUMIF(('Bruto bilans'!$H$10:'Bruto bilans'!$H$94),"E.2.4.",('Bruto bilans'!$G$10:'Bruto bilans'!$G$94))</f>
        <v>49993.919999999998</v>
      </c>
    </row>
    <row r="54" spans="1:14" ht="18" customHeight="1" x14ac:dyDescent="0.25">
      <c r="A54" s="60" t="s">
        <v>101</v>
      </c>
      <c r="B54" s="50" t="s">
        <v>35</v>
      </c>
      <c r="C54" s="51"/>
      <c r="D54" s="235">
        <f t="shared" si="5"/>
        <v>238979.43</v>
      </c>
      <c r="E54" s="236"/>
      <c r="F54" s="231">
        <v>242458.64</v>
      </c>
      <c r="G54" s="232"/>
      <c r="I54">
        <f>SUMIF(('Bruto bilans'!$H$10:'Bruto bilans'!$H$94),"E.2.5.",('Bruto bilans'!$G$10:'Bruto bilans'!$G$94))</f>
        <v>238979.43</v>
      </c>
      <c r="M54" s="8"/>
      <c r="N54" s="8"/>
    </row>
    <row r="55" spans="1:14" ht="18" customHeight="1" x14ac:dyDescent="0.25">
      <c r="A55" s="60" t="s">
        <v>102</v>
      </c>
      <c r="B55" s="50" t="s">
        <v>36</v>
      </c>
      <c r="C55" s="51"/>
      <c r="D55" s="235">
        <f t="shared" si="5"/>
        <v>93745.049999999974</v>
      </c>
      <c r="E55" s="236"/>
      <c r="F55" s="231">
        <v>89116.349999999977</v>
      </c>
      <c r="G55" s="232"/>
      <c r="I55">
        <f>SUMIF(('Bruto bilans'!$H$10:'Bruto bilans'!$H$94),"E.2.6.",('Bruto bilans'!$G$10:'Bruto bilans'!$G$94))</f>
        <v>93745.049999999974</v>
      </c>
    </row>
    <row r="56" spans="1:14" ht="24" customHeight="1" x14ac:dyDescent="0.25">
      <c r="A56" s="60" t="s">
        <v>103</v>
      </c>
      <c r="B56" s="50" t="s">
        <v>37</v>
      </c>
      <c r="C56" s="51"/>
      <c r="D56" s="235">
        <f t="shared" si="5"/>
        <v>0</v>
      </c>
      <c r="E56" s="236"/>
      <c r="F56" s="231">
        <v>0</v>
      </c>
      <c r="G56" s="232"/>
    </row>
    <row r="57" spans="1:14" ht="57" customHeight="1" x14ac:dyDescent="0.25">
      <c r="A57" s="61" t="s">
        <v>104</v>
      </c>
      <c r="B57" s="62" t="s">
        <v>38</v>
      </c>
      <c r="C57" s="49"/>
      <c r="D57" s="235">
        <f t="shared" ref="D57" si="6">I57</f>
        <v>96983.18</v>
      </c>
      <c r="E57" s="236"/>
      <c r="F57" s="231">
        <v>96983.18</v>
      </c>
      <c r="G57" s="232"/>
      <c r="I57">
        <f>SUMIF(('Bruto bilans'!$H$264:'Bruto bilans'!$H$278),"F.",('Bruto bilans'!$G$264:'Bruto bilans'!$G$278))</f>
        <v>96983.18</v>
      </c>
    </row>
    <row r="58" spans="1:14" ht="18" customHeight="1" x14ac:dyDescent="0.25">
      <c r="A58" s="60"/>
      <c r="B58" s="3" t="s">
        <v>39</v>
      </c>
      <c r="C58" s="49"/>
      <c r="D58" s="233">
        <f t="shared" si="5"/>
        <v>4807.24</v>
      </c>
      <c r="E58" s="234"/>
      <c r="F58" s="227">
        <v>5792.1700000000028</v>
      </c>
      <c r="G58" s="228"/>
      <c r="I58">
        <f>SUMIF(('Bruto bilans'!$H$10:'Bruto bilans'!$H$94),"H.",('Bruto bilans'!$G$10:'Bruto bilans'!$G$94))</f>
        <v>4807.24</v>
      </c>
    </row>
    <row r="59" spans="1:14" ht="18" customHeight="1" x14ac:dyDescent="0.25">
      <c r="A59" s="60"/>
      <c r="B59" s="3" t="s">
        <v>40</v>
      </c>
      <c r="C59" s="49"/>
      <c r="D59" s="233">
        <f t="shared" si="5"/>
        <v>1799.17</v>
      </c>
      <c r="E59" s="234"/>
      <c r="F59" s="227">
        <v>1799.1699999999998</v>
      </c>
      <c r="G59" s="228"/>
      <c r="I59">
        <f>SUMIF(('Bruto bilans'!$H$10:'Bruto bilans'!$H$94),"G.",('Bruto bilans'!$G$10:'Bruto bilans'!$G$94))</f>
        <v>1799.17</v>
      </c>
    </row>
    <row r="60" spans="1:14" ht="18" customHeight="1" x14ac:dyDescent="0.25">
      <c r="A60" s="60"/>
      <c r="B60" s="3" t="s">
        <v>69</v>
      </c>
      <c r="C60" s="49"/>
      <c r="D60" s="233">
        <f>D15+D20+D26+D43+D47+D57+D58+D59</f>
        <v>6745111.1099999994</v>
      </c>
      <c r="E60" s="234"/>
      <c r="F60" s="227">
        <v>6656511.5099999998</v>
      </c>
      <c r="G60" s="228"/>
      <c r="I60">
        <f>SUM(I16:I59)</f>
        <v>6745111.1099999985</v>
      </c>
      <c r="L60" s="8"/>
    </row>
    <row r="61" spans="1:14" ht="18" customHeight="1" x14ac:dyDescent="0.25">
      <c r="A61" s="52"/>
      <c r="B61" s="53"/>
      <c r="C61" s="53"/>
      <c r="D61" s="94"/>
      <c r="E61" s="94"/>
      <c r="F61" s="54"/>
      <c r="G61" s="54"/>
      <c r="I61" s="8"/>
    </row>
    <row r="62" spans="1:14" ht="18" customHeight="1" x14ac:dyDescent="0.25">
      <c r="A62" s="52"/>
      <c r="B62" s="53"/>
      <c r="C62" s="53"/>
      <c r="D62" s="94"/>
      <c r="E62" s="94"/>
      <c r="F62" s="54"/>
      <c r="G62" s="54"/>
      <c r="I62" s="8"/>
    </row>
    <row r="63" spans="1:14" ht="18" customHeight="1" x14ac:dyDescent="0.25">
      <c r="A63" s="52"/>
      <c r="B63" s="53"/>
      <c r="C63" s="53"/>
      <c r="D63" s="94"/>
      <c r="E63" s="94"/>
      <c r="F63" s="54"/>
      <c r="G63" s="54"/>
    </row>
    <row r="64" spans="1:14" ht="15.75" customHeight="1" x14ac:dyDescent="0.25">
      <c r="A64" s="241" t="s">
        <v>462</v>
      </c>
      <c r="B64" s="242"/>
      <c r="C64" s="242"/>
      <c r="D64" s="242"/>
      <c r="E64" s="242"/>
      <c r="F64" s="242"/>
      <c r="G64" s="238"/>
    </row>
    <row r="65" spans="1:11" ht="21.75" customHeight="1" x14ac:dyDescent="0.25">
      <c r="A65" s="251" t="s">
        <v>1</v>
      </c>
      <c r="B65" s="249" t="s">
        <v>0</v>
      </c>
      <c r="C65" s="249" t="s">
        <v>453</v>
      </c>
      <c r="D65" s="253" t="s">
        <v>452</v>
      </c>
      <c r="E65" s="249"/>
      <c r="F65" s="249"/>
      <c r="G65" s="249"/>
    </row>
    <row r="66" spans="1:11" ht="30.75" customHeight="1" x14ac:dyDescent="0.25">
      <c r="A66" s="252"/>
      <c r="B66" s="250"/>
      <c r="C66" s="249"/>
      <c r="D66" s="244" t="s">
        <v>3</v>
      </c>
      <c r="E66" s="244"/>
      <c r="F66" s="243" t="s">
        <v>2</v>
      </c>
      <c r="G66" s="243"/>
      <c r="I66" t="s">
        <v>310</v>
      </c>
      <c r="J66" t="s">
        <v>311</v>
      </c>
      <c r="K66" t="s">
        <v>312</v>
      </c>
    </row>
    <row r="67" spans="1:11" ht="14.25" customHeight="1" x14ac:dyDescent="0.25">
      <c r="A67" s="47" t="s">
        <v>454</v>
      </c>
      <c r="B67" s="6">
        <v>2</v>
      </c>
      <c r="C67" s="6">
        <v>3</v>
      </c>
      <c r="D67" s="239">
        <v>4</v>
      </c>
      <c r="E67" s="240"/>
      <c r="F67" s="237">
        <v>5</v>
      </c>
      <c r="G67" s="238"/>
    </row>
    <row r="68" spans="1:11" x14ac:dyDescent="0.25">
      <c r="A68" s="43"/>
      <c r="B68" s="42"/>
      <c r="C68" s="46"/>
      <c r="D68" s="95"/>
      <c r="E68" s="96"/>
      <c r="F68" s="2"/>
      <c r="G68" s="1"/>
      <c r="J68">
        <f>SUMIF(('Bruto bilans'!$H$257:'Bruto bilans'!$H$278),"G.",('Bruto bilans'!$G$257:'Bruto bilans'!$G$278))</f>
        <v>0</v>
      </c>
    </row>
    <row r="69" spans="1:11" x14ac:dyDescent="0.25">
      <c r="A69" s="65"/>
      <c r="B69" s="63" t="s">
        <v>469</v>
      </c>
      <c r="C69" s="44"/>
      <c r="D69" s="227">
        <f>D70+D71</f>
        <v>1900000</v>
      </c>
      <c r="E69" s="228"/>
      <c r="F69" s="227">
        <v>1900000</v>
      </c>
      <c r="G69" s="228"/>
      <c r="J69">
        <f>SUMIF(('Bruto bilans'!$H$257:'Bruto bilans'!$H$278),"A.",('Bruto bilans'!$G$257:'Bruto bilans'!$G$278))</f>
        <v>0</v>
      </c>
    </row>
    <row r="70" spans="1:11" ht="18.75" customHeight="1" x14ac:dyDescent="0.25">
      <c r="A70" s="65" t="s">
        <v>105</v>
      </c>
      <c r="B70" s="64" t="s">
        <v>41</v>
      </c>
      <c r="C70" s="45"/>
      <c r="D70" s="225">
        <f>-J70</f>
        <v>1900000</v>
      </c>
      <c r="E70" s="226"/>
      <c r="F70" s="225">
        <v>1900000</v>
      </c>
      <c r="G70" s="226"/>
      <c r="J70">
        <f>SUMIF(('Bruto bilans'!$H$257:'Bruto bilans'!$H$278),"A.1.",('Bruto bilans'!$G$257:'Bruto bilans'!$G$278))</f>
        <v>-1900000</v>
      </c>
    </row>
    <row r="71" spans="1:11" ht="18.75" customHeight="1" x14ac:dyDescent="0.25">
      <c r="A71" s="65" t="s">
        <v>106</v>
      </c>
      <c r="B71" s="64" t="s">
        <v>42</v>
      </c>
      <c r="C71" s="45"/>
      <c r="D71" s="225">
        <f>-J71</f>
        <v>0</v>
      </c>
      <c r="E71" s="226"/>
      <c r="F71" s="225">
        <v>0</v>
      </c>
      <c r="G71" s="226"/>
      <c r="J71">
        <f>SUMIF(('Bruto bilans'!$H$257:'Bruto bilans'!$H$278),"A.2..",('Bruto bilans'!$G$257:'Bruto bilans'!$G$278))</f>
        <v>0</v>
      </c>
    </row>
    <row r="72" spans="1:11" ht="18.75" customHeight="1" x14ac:dyDescent="0.25">
      <c r="A72" s="65"/>
      <c r="B72" s="63" t="s">
        <v>470</v>
      </c>
      <c r="C72" s="44"/>
      <c r="D72" s="227">
        <f>SUM(D73:E81)</f>
        <v>-127014.01999999979</v>
      </c>
      <c r="E72" s="228"/>
      <c r="F72" s="227">
        <v>-91210.940000000555</v>
      </c>
      <c r="G72" s="228"/>
      <c r="H72" s="152"/>
      <c r="J72">
        <f>SUMIF(('Bruto bilans'!$H$257:'Bruto bilans'!$H$278),"B.",('Bruto bilans'!$G$257:'Bruto bilans'!$G$278))</f>
        <v>0</v>
      </c>
    </row>
    <row r="73" spans="1:11" ht="18.75" customHeight="1" x14ac:dyDescent="0.25">
      <c r="A73" s="65" t="s">
        <v>107</v>
      </c>
      <c r="B73" s="64" t="s">
        <v>43</v>
      </c>
      <c r="C73" s="45"/>
      <c r="D73" s="225">
        <f>-J73</f>
        <v>0</v>
      </c>
      <c r="E73" s="226"/>
      <c r="F73" s="225">
        <v>0</v>
      </c>
      <c r="G73" s="226"/>
      <c r="J73">
        <f>SUMIF(('Bruto bilans'!$H$257:'Bruto bilans'!$H$278),"B.1.",('Bruto bilans'!$G$257:'Bruto bilans'!$G$278))</f>
        <v>0</v>
      </c>
    </row>
    <row r="74" spans="1:11" ht="18.75" customHeight="1" x14ac:dyDescent="0.25">
      <c r="A74" s="65" t="s">
        <v>108</v>
      </c>
      <c r="B74" s="4" t="s">
        <v>44</v>
      </c>
      <c r="C74" s="45"/>
      <c r="D74" s="225">
        <f t="shared" ref="D74:D80" si="7">-J74</f>
        <v>0</v>
      </c>
      <c r="E74" s="226"/>
      <c r="F74" s="225">
        <v>0</v>
      </c>
      <c r="G74" s="226"/>
      <c r="J74">
        <f>SUMIF(('Bruto bilans'!$H$257:'Bruto bilans'!$H$278),"B.2.",('Bruto bilans'!$G$257:'Bruto bilans'!$G$278))</f>
        <v>0</v>
      </c>
    </row>
    <row r="75" spans="1:11" ht="18.75" customHeight="1" x14ac:dyDescent="0.25">
      <c r="A75" s="65"/>
      <c r="B75" s="64" t="s">
        <v>45</v>
      </c>
      <c r="C75" s="45"/>
      <c r="D75" s="225">
        <f t="shared" si="7"/>
        <v>0</v>
      </c>
      <c r="E75" s="226"/>
      <c r="F75" s="225">
        <v>0</v>
      </c>
      <c r="G75" s="226"/>
      <c r="J75">
        <f>SUMIF(('Bruto bilans'!$H$257:'Bruto bilans'!$H$278),"B.2.1.",('Bruto bilans'!$G$257:'Bruto bilans'!$G$278))</f>
        <v>0</v>
      </c>
    </row>
    <row r="76" spans="1:11" ht="18.75" customHeight="1" x14ac:dyDescent="0.25">
      <c r="A76" s="65"/>
      <c r="B76" s="64" t="s">
        <v>46</v>
      </c>
      <c r="C76" s="45"/>
      <c r="D76" s="225">
        <f t="shared" si="7"/>
        <v>0</v>
      </c>
      <c r="E76" s="226"/>
      <c r="F76" s="225">
        <v>0</v>
      </c>
      <c r="G76" s="226"/>
      <c r="J76">
        <f>SUMIF(('Bruto bilans'!$H$257:'Bruto bilans'!$H$278),"B.2.2.",('Bruto bilans'!$G$257:'Bruto bilans'!$G$278))</f>
        <v>0</v>
      </c>
    </row>
    <row r="77" spans="1:11" ht="18.75" customHeight="1" x14ac:dyDescent="0.25">
      <c r="A77" s="65"/>
      <c r="B77" s="64" t="s">
        <v>47</v>
      </c>
      <c r="C77" s="45"/>
      <c r="D77" s="225">
        <f t="shared" si="7"/>
        <v>0</v>
      </c>
      <c r="E77" s="226"/>
      <c r="F77" s="225">
        <v>0</v>
      </c>
      <c r="G77" s="226"/>
      <c r="J77">
        <f>SUMIF(('Bruto bilans'!$H$257:'Bruto bilans'!$H$278),"B.2.3.",('Bruto bilans'!$G$257:'Bruto bilans'!$G$278))</f>
        <v>0</v>
      </c>
    </row>
    <row r="78" spans="1:11" ht="18.75" customHeight="1" x14ac:dyDescent="0.25">
      <c r="A78" s="65"/>
      <c r="B78" s="64" t="s">
        <v>48</v>
      </c>
      <c r="C78" s="45"/>
      <c r="D78" s="225">
        <f t="shared" si="7"/>
        <v>0</v>
      </c>
      <c r="E78" s="226"/>
      <c r="F78" s="225">
        <v>0</v>
      </c>
      <c r="G78" s="226"/>
      <c r="J78">
        <f>SUMIF(('Bruto bilans'!$H$257:'Bruto bilans'!$H$278),"B.2.4.",('Bruto bilans'!$G$257:'Bruto bilans'!$G$278))</f>
        <v>0</v>
      </c>
    </row>
    <row r="79" spans="1:11" ht="18.75" customHeight="1" x14ac:dyDescent="0.25">
      <c r="A79" s="65" t="s">
        <v>109</v>
      </c>
      <c r="B79" s="64" t="s">
        <v>49</v>
      </c>
      <c r="C79" s="45"/>
      <c r="D79" s="225">
        <f t="shared" si="7"/>
        <v>0</v>
      </c>
      <c r="E79" s="226"/>
      <c r="F79" s="225">
        <v>0</v>
      </c>
      <c r="G79" s="226"/>
      <c r="J79">
        <f>SUMIF(('Bruto bilans'!$H$257:'Bruto bilans'!$H$278),"B.3.",('Bruto bilans'!$G$257:'Bruto bilans'!$G$278))</f>
        <v>0</v>
      </c>
    </row>
    <row r="80" spans="1:11" ht="18.75" customHeight="1" x14ac:dyDescent="0.25">
      <c r="A80" s="65" t="s">
        <v>110</v>
      </c>
      <c r="B80" s="64" t="s">
        <v>50</v>
      </c>
      <c r="C80" s="45"/>
      <c r="D80" s="225">
        <f t="shared" si="7"/>
        <v>0</v>
      </c>
      <c r="E80" s="226"/>
      <c r="F80" s="225">
        <v>0</v>
      </c>
      <c r="G80" s="226"/>
      <c r="J80">
        <f>SUMIF(('Bruto bilans'!$H$257:'Bruto bilans'!$H$278),"B.4.",('Bruto bilans'!$G$257:'Bruto bilans'!$G$278))</f>
        <v>0</v>
      </c>
    </row>
    <row r="81" spans="1:12" ht="18.75" customHeight="1" x14ac:dyDescent="0.25">
      <c r="A81" s="65"/>
      <c r="B81" s="4" t="s">
        <v>471</v>
      </c>
      <c r="C81" s="45"/>
      <c r="D81" s="227">
        <f>D82+D83</f>
        <v>-127014.01999999979</v>
      </c>
      <c r="E81" s="228"/>
      <c r="F81" s="227">
        <v>-91210.940000000555</v>
      </c>
      <c r="G81" s="228"/>
      <c r="J81">
        <f>SUMIF(('Bruto bilans'!$H$257:'Bruto bilans'!$H$278),"B.5.",('Bruto bilans'!$G$257:'Bruto bilans'!$G$278))</f>
        <v>0</v>
      </c>
    </row>
    <row r="82" spans="1:12" ht="18.75" customHeight="1" x14ac:dyDescent="0.25">
      <c r="A82" s="65" t="s">
        <v>111</v>
      </c>
      <c r="B82" s="101" t="s">
        <v>472</v>
      </c>
      <c r="C82" s="45"/>
      <c r="D82" s="225">
        <f>-J82</f>
        <v>-91210.94</v>
      </c>
      <c r="E82" s="226"/>
      <c r="F82" s="225">
        <v>3515.9100000000035</v>
      </c>
      <c r="G82" s="226"/>
      <c r="J82">
        <f>SUMIF(('Bruto bilans'!$H$257:'Bruto bilans'!$H$278),"B.5.1.",('Bruto bilans'!$G$257:'Bruto bilans'!$G$278))</f>
        <v>91210.94</v>
      </c>
    </row>
    <row r="83" spans="1:12" ht="30" x14ac:dyDescent="0.25">
      <c r="A83" s="65" t="s">
        <v>112</v>
      </c>
      <c r="B83" s="4" t="s">
        <v>473</v>
      </c>
      <c r="C83" s="45"/>
      <c r="D83" s="225">
        <f t="shared" ref="D83" si="8">-J83</f>
        <v>-35803.079999999783</v>
      </c>
      <c r="E83" s="226"/>
      <c r="F83" s="225">
        <v>-94726.850000000559</v>
      </c>
      <c r="G83" s="226"/>
      <c r="J83">
        <f>SUMIF(('Bruto bilans'!$H$257:'Bruto bilans'!$H$278),"B.5.2.",('Bruto bilans'!$G$257:'Bruto bilans'!$G$278))</f>
        <v>35803.079999999783</v>
      </c>
    </row>
    <row r="84" spans="1:12" x14ac:dyDescent="0.25">
      <c r="A84" s="65"/>
      <c r="B84" s="63" t="s">
        <v>474</v>
      </c>
      <c r="C84" s="44"/>
      <c r="D84" s="227">
        <f>D85+D92+D97</f>
        <v>4733407.1599999992</v>
      </c>
      <c r="E84" s="228"/>
      <c r="F84" s="227">
        <v>4597154.9399999995</v>
      </c>
      <c r="G84" s="228"/>
      <c r="H84" s="8"/>
      <c r="J84">
        <f>SUMIF(('Bruto bilans'!$H$257:'Bruto bilans'!$H$278),"C.",('Bruto bilans'!$G$257:'Bruto bilans'!$G$278))</f>
        <v>0</v>
      </c>
    </row>
    <row r="85" spans="1:12" ht="18.75" customHeight="1" x14ac:dyDescent="0.25">
      <c r="A85" s="65"/>
      <c r="B85" s="64" t="s">
        <v>51</v>
      </c>
      <c r="C85" s="45"/>
      <c r="D85" s="229">
        <f>+D86+D87+D88+D89+D90+D91</f>
        <v>211337.46</v>
      </c>
      <c r="E85" s="230"/>
      <c r="F85" s="225">
        <v>177740.22</v>
      </c>
      <c r="G85" s="226"/>
      <c r="H85" s="8"/>
      <c r="J85">
        <f>SUMIF(('Bruto bilans'!$H$257:'Bruto bilans'!$H$278),"C.1.",('Bruto bilans'!$G$257:'Bruto bilans'!$G$278))</f>
        <v>0</v>
      </c>
    </row>
    <row r="86" spans="1:12" ht="18.75" customHeight="1" x14ac:dyDescent="0.25">
      <c r="A86" s="65" t="s">
        <v>113</v>
      </c>
      <c r="B86" s="64" t="s">
        <v>52</v>
      </c>
      <c r="C86" s="45"/>
      <c r="D86" s="229">
        <f>-J86</f>
        <v>20215.400000000001</v>
      </c>
      <c r="E86" s="230"/>
      <c r="F86" s="225">
        <v>27044.91</v>
      </c>
      <c r="G86" s="226"/>
      <c r="H86" s="8"/>
      <c r="J86">
        <f>SUMIF(('Bruto bilans'!$H$257:'Bruto bilans'!$H$278),"C.1.1.",('Bruto bilans'!$G$257:'Bruto bilans'!$G$278))</f>
        <v>-20215.400000000001</v>
      </c>
    </row>
    <row r="87" spans="1:12" ht="18.75" customHeight="1" x14ac:dyDescent="0.25">
      <c r="A87" s="65" t="s">
        <v>114</v>
      </c>
      <c r="B87" s="4" t="s">
        <v>475</v>
      </c>
      <c r="C87" s="45"/>
      <c r="D87" s="229">
        <f t="shared" ref="D87:D91" si="9">-J87</f>
        <v>132226.43</v>
      </c>
      <c r="E87" s="230"/>
      <c r="F87" s="225">
        <v>91799.680000000008</v>
      </c>
      <c r="G87" s="226"/>
      <c r="J87">
        <f>SUMIF(('Bruto bilans'!$H$257:'Bruto bilans'!$H$278),"C.1.3.",('Bruto bilans'!$G$257:'Bruto bilans'!$G$278))</f>
        <v>-132226.43</v>
      </c>
    </row>
    <row r="88" spans="1:12" ht="18.75" customHeight="1" x14ac:dyDescent="0.25">
      <c r="A88" s="65" t="s">
        <v>115</v>
      </c>
      <c r="B88" s="4" t="s">
        <v>476</v>
      </c>
      <c r="C88" s="45"/>
      <c r="D88" s="229">
        <f t="shared" si="9"/>
        <v>58895.63</v>
      </c>
      <c r="E88" s="230"/>
      <c r="F88" s="225">
        <v>58895.63</v>
      </c>
      <c r="G88" s="226"/>
      <c r="J88">
        <f>SUMIF(('Bruto bilans'!$H$257:'Bruto bilans'!$H$278),"C.1.4.",('Bruto bilans'!$G$257:'Bruto bilans'!$G$278))</f>
        <v>-58895.63</v>
      </c>
      <c r="L88" s="8"/>
    </row>
    <row r="89" spans="1:12" ht="18.75" customHeight="1" x14ac:dyDescent="0.25">
      <c r="A89" s="65" t="s">
        <v>116</v>
      </c>
      <c r="B89" s="4" t="s">
        <v>477</v>
      </c>
      <c r="C89" s="45"/>
      <c r="D89" s="225">
        <f t="shared" si="9"/>
        <v>0</v>
      </c>
      <c r="E89" s="226"/>
      <c r="F89" s="225">
        <v>0</v>
      </c>
      <c r="G89" s="226"/>
      <c r="J89">
        <f>SUMIF(('Bruto bilans'!$H$257:'Bruto bilans'!$H$278),"C.1.5.",('Bruto bilans'!$G$257:'Bruto bilans'!$G$278))</f>
        <v>0</v>
      </c>
    </row>
    <row r="90" spans="1:12" ht="18.75" customHeight="1" x14ac:dyDescent="0.25">
      <c r="A90" s="65" t="s">
        <v>117</v>
      </c>
      <c r="B90" s="4" t="s">
        <v>478</v>
      </c>
      <c r="C90" s="45"/>
      <c r="D90" s="225">
        <f t="shared" si="9"/>
        <v>0</v>
      </c>
      <c r="E90" s="226"/>
      <c r="F90" s="225">
        <v>0</v>
      </c>
      <c r="G90" s="226"/>
      <c r="J90">
        <f>SUMIF(('Bruto bilans'!$H$257:'Bruto bilans'!$H$278),"C.1.6.",('Bruto bilans'!$G$257:'Bruto bilans'!$G$278))</f>
        <v>0</v>
      </c>
    </row>
    <row r="91" spans="1:12" ht="30" x14ac:dyDescent="0.25">
      <c r="A91" s="65" t="s">
        <v>118</v>
      </c>
      <c r="B91" s="4" t="s">
        <v>479</v>
      </c>
      <c r="C91" s="45"/>
      <c r="D91" s="225">
        <f t="shared" si="9"/>
        <v>0</v>
      </c>
      <c r="E91" s="226"/>
      <c r="F91" s="225">
        <v>0</v>
      </c>
      <c r="G91" s="226"/>
      <c r="J91">
        <f>SUMIF(('Bruto bilans'!$H$257:'Bruto bilans'!$H$278),"C.1.7.",('Bruto bilans'!$G$257:'Bruto bilans'!$G$278))</f>
        <v>0</v>
      </c>
    </row>
    <row r="92" spans="1:12" ht="30" x14ac:dyDescent="0.25">
      <c r="A92" s="65"/>
      <c r="B92" s="64" t="s">
        <v>53</v>
      </c>
      <c r="C92" s="45"/>
      <c r="D92" s="227">
        <f>D93+D94+D95+D96</f>
        <v>4427792.3099999996</v>
      </c>
      <c r="E92" s="228"/>
      <c r="F92" s="227">
        <v>4325137.33</v>
      </c>
      <c r="G92" s="228"/>
      <c r="J92">
        <f>SUMIF(('Bruto bilans'!$H$257:'Bruto bilans'!$H$278),"C.2.",('Bruto bilans'!$G$257:'Bruto bilans'!$G$278))</f>
        <v>0</v>
      </c>
      <c r="L92" s="8"/>
    </row>
    <row r="93" spans="1:12" ht="30" x14ac:dyDescent="0.25">
      <c r="A93" s="65" t="s">
        <v>119</v>
      </c>
      <c r="B93" s="64" t="s">
        <v>54</v>
      </c>
      <c r="C93" s="45"/>
      <c r="D93" s="229">
        <f>-J93</f>
        <v>4427792.3099999996</v>
      </c>
      <c r="E93" s="230"/>
      <c r="F93" s="225">
        <v>4325137.33</v>
      </c>
      <c r="G93" s="226"/>
      <c r="J93">
        <f>SUMIF(('Bruto bilans'!$H$257:'Bruto bilans'!$H$278),"C.2.1.",('Bruto bilans'!$G$257:'Bruto bilans'!$G$278))</f>
        <v>-4427792.3099999996</v>
      </c>
    </row>
    <row r="94" spans="1:12" ht="45" x14ac:dyDescent="0.25">
      <c r="A94" s="65" t="s">
        <v>120</v>
      </c>
      <c r="B94" s="64" t="s">
        <v>55</v>
      </c>
      <c r="C94" s="45"/>
      <c r="D94" s="225">
        <f t="shared" ref="D94:D95" si="10">J94</f>
        <v>0</v>
      </c>
      <c r="E94" s="226"/>
      <c r="F94" s="225">
        <v>0</v>
      </c>
      <c r="G94" s="226"/>
      <c r="H94" s="8"/>
      <c r="J94">
        <f>SUMIF(('Bruto bilans'!$H$257:'Bruto bilans'!$H$278),"C.2.2.",('Bruto bilans'!$G$257:'Bruto bilans'!$G$278))</f>
        <v>0</v>
      </c>
    </row>
    <row r="95" spans="1:12" ht="45" x14ac:dyDescent="0.25">
      <c r="A95" s="65" t="s">
        <v>121</v>
      </c>
      <c r="B95" s="4" t="s">
        <v>480</v>
      </c>
      <c r="C95" s="45"/>
      <c r="D95" s="225">
        <f t="shared" si="10"/>
        <v>0</v>
      </c>
      <c r="E95" s="226"/>
      <c r="F95" s="225">
        <v>0</v>
      </c>
      <c r="G95" s="226"/>
      <c r="J95">
        <f>SUMIF(('Bruto bilans'!$H$257:'Bruto bilans'!$H$278),"C.2.3.",('Bruto bilans'!$G$257:'Bruto bilans'!$G$278))</f>
        <v>0</v>
      </c>
    </row>
    <row r="96" spans="1:12" x14ac:dyDescent="0.25">
      <c r="A96" s="65" t="s">
        <v>122</v>
      </c>
      <c r="B96" s="64" t="s">
        <v>56</v>
      </c>
      <c r="C96" s="45"/>
      <c r="D96" s="229">
        <f>-J96</f>
        <v>0</v>
      </c>
      <c r="E96" s="230"/>
      <c r="F96" s="225">
        <v>0</v>
      </c>
      <c r="G96" s="226"/>
      <c r="J96">
        <f>SUMIF(('Bruto bilans'!$H$257:'Bruto bilans'!$H$278),"C.2.4.",('Bruto bilans'!$G$257:'Bruto bilans'!$G$278))</f>
        <v>0</v>
      </c>
    </row>
    <row r="97" spans="1:10" x14ac:dyDescent="0.25">
      <c r="A97" s="65"/>
      <c r="B97" s="64" t="s">
        <v>57</v>
      </c>
      <c r="C97" s="45"/>
      <c r="D97" s="227">
        <f>+D98+D99</f>
        <v>94277.39</v>
      </c>
      <c r="E97" s="228"/>
      <c r="F97" s="227">
        <v>94277.39</v>
      </c>
      <c r="G97" s="228"/>
      <c r="J97">
        <f>SUMIF(('Bruto bilans'!$H$257:'Bruto bilans'!$H$278),"C.3.",('Bruto bilans'!$G$257:'Bruto bilans'!$G$278))</f>
        <v>0</v>
      </c>
    </row>
    <row r="98" spans="1:10" ht="30" x14ac:dyDescent="0.25">
      <c r="A98" s="65" t="s">
        <v>123</v>
      </c>
      <c r="B98" s="64" t="s">
        <v>59</v>
      </c>
      <c r="C98" s="45"/>
      <c r="D98" s="229">
        <f>-J98</f>
        <v>442.26</v>
      </c>
      <c r="E98" s="230"/>
      <c r="F98" s="225">
        <v>442.26</v>
      </c>
      <c r="G98" s="226"/>
      <c r="J98">
        <f>SUMIF(('Bruto bilans'!$H$257:'Bruto bilans'!$H$278),"C.3.1.",('Bruto bilans'!$G$257:'Bruto bilans'!$G$278))</f>
        <v>-442.26</v>
      </c>
    </row>
    <row r="99" spans="1:10" ht="24.75" x14ac:dyDescent="0.25">
      <c r="A99" s="65" t="s">
        <v>124</v>
      </c>
      <c r="B99" s="64" t="s">
        <v>58</v>
      </c>
      <c r="C99" s="45"/>
      <c r="D99" s="225">
        <f>-J99</f>
        <v>93835.13</v>
      </c>
      <c r="E99" s="226"/>
      <c r="F99" s="225">
        <v>93835.13</v>
      </c>
      <c r="G99" s="226"/>
      <c r="J99">
        <f>SUMIF(('Bruto bilans'!$H$257:'Bruto bilans'!$H$278),"C.3.2.",('Bruto bilans'!$G$257:'Bruto bilans'!$G$278))</f>
        <v>-93835.13</v>
      </c>
    </row>
    <row r="100" spans="1:10" ht="20.25" customHeight="1" x14ac:dyDescent="0.25">
      <c r="A100" s="65"/>
      <c r="B100" s="63" t="s">
        <v>481</v>
      </c>
      <c r="C100" s="44"/>
      <c r="D100" s="227">
        <f>D101+D102+D103+D104+D105+D106+D107</f>
        <v>227409.54999999993</v>
      </c>
      <c r="E100" s="228"/>
      <c r="F100" s="227">
        <v>235146.11000000002</v>
      </c>
      <c r="G100" s="228"/>
      <c r="J100">
        <f>SUMIF(('Bruto bilans'!$H$257:'Bruto bilans'!$H$278),"D.7",('Bruto bilans'!$G$257:'Bruto bilans'!$G$278))</f>
        <v>0</v>
      </c>
    </row>
    <row r="101" spans="1:10" ht="16.5" customHeight="1" x14ac:dyDescent="0.25">
      <c r="A101" s="65" t="s">
        <v>125</v>
      </c>
      <c r="B101" s="64" t="s">
        <v>60</v>
      </c>
      <c r="C101" s="45"/>
      <c r="D101" s="225">
        <f>-J101</f>
        <v>153210.48999999996</v>
      </c>
      <c r="E101" s="226"/>
      <c r="F101" s="225">
        <v>143528.01000000004</v>
      </c>
      <c r="G101" s="226"/>
      <c r="J101">
        <f>SUMIF(('Bruto bilans'!$H$107:'Bruto bilans'!$H$110),"D.1.",('Bruto bilans'!$G$107:'Bruto bilans'!$G$110))</f>
        <v>-153210.48999999996</v>
      </c>
    </row>
    <row r="102" spans="1:10" ht="16.5" customHeight="1" x14ac:dyDescent="0.25">
      <c r="A102" s="65" t="s">
        <v>126</v>
      </c>
      <c r="B102" s="100" t="s">
        <v>841</v>
      </c>
      <c r="C102" s="45"/>
      <c r="D102" s="225">
        <f t="shared" ref="D102:D107" si="11">-J102</f>
        <v>51540.459999999992</v>
      </c>
      <c r="E102" s="226"/>
      <c r="F102" s="225">
        <v>88419.039999999979</v>
      </c>
      <c r="G102" s="226"/>
      <c r="J102">
        <f>SUMIF(('Bruto bilans'!$H$111:'Bruto bilans'!$H$278),"D.2.",('Bruto bilans'!$G$111:'Bruto bilans'!$G$278))</f>
        <v>-51540.459999999992</v>
      </c>
    </row>
    <row r="103" spans="1:10" ht="16.5" customHeight="1" x14ac:dyDescent="0.25">
      <c r="A103" s="65" t="s">
        <v>127</v>
      </c>
      <c r="B103" s="64" t="s">
        <v>61</v>
      </c>
      <c r="C103" s="45"/>
      <c r="D103" s="225">
        <f t="shared" si="11"/>
        <v>0</v>
      </c>
      <c r="E103" s="226"/>
      <c r="F103" s="225">
        <v>0</v>
      </c>
      <c r="G103" s="226"/>
      <c r="J103">
        <f>SUMIF(('Bruto bilans'!$H$257:'Bruto bilans'!$H$278),"D.3.",('Bruto bilans'!$G$257:'Bruto bilans'!$G$278))</f>
        <v>0</v>
      </c>
    </row>
    <row r="104" spans="1:10" ht="16.5" customHeight="1" x14ac:dyDescent="0.25">
      <c r="A104" s="65" t="s">
        <v>128</v>
      </c>
      <c r="B104" s="4" t="s">
        <v>482</v>
      </c>
      <c r="C104" s="45"/>
      <c r="D104" s="225">
        <f t="shared" si="11"/>
        <v>0</v>
      </c>
      <c r="E104" s="226"/>
      <c r="F104" s="225">
        <v>0</v>
      </c>
      <c r="G104" s="226"/>
      <c r="J104">
        <f>SUMIF(('Bruto bilans'!$H$113:'Bruto bilans'!$H$278),"D.4.",('Bruto bilans'!$G$113:'Bruto bilans'!$G$278))</f>
        <v>0</v>
      </c>
    </row>
    <row r="105" spans="1:10" ht="16.5" customHeight="1" x14ac:dyDescent="0.25">
      <c r="A105" s="65" t="s">
        <v>129</v>
      </c>
      <c r="B105" s="64" t="s">
        <v>62</v>
      </c>
      <c r="C105" s="45"/>
      <c r="D105" s="225">
        <f t="shared" si="11"/>
        <v>0</v>
      </c>
      <c r="E105" s="226"/>
      <c r="F105" s="225">
        <v>0</v>
      </c>
      <c r="G105" s="226"/>
      <c r="J105">
        <f>SUMIF(('Bruto bilans'!$H$257:'Bruto bilans'!$H$278),"D.5.",('Bruto bilans'!$G$257:'Bruto bilans'!$G$278))</f>
        <v>0</v>
      </c>
    </row>
    <row r="106" spans="1:10" ht="16.5" customHeight="1" x14ac:dyDescent="0.25">
      <c r="A106" s="65" t="s">
        <v>130</v>
      </c>
      <c r="B106" s="64" t="s">
        <v>63</v>
      </c>
      <c r="C106" s="45"/>
      <c r="D106" s="225">
        <f>-J106</f>
        <v>18142.97</v>
      </c>
      <c r="E106" s="226"/>
      <c r="F106" s="225">
        <v>0</v>
      </c>
      <c r="G106" s="226"/>
      <c r="J106">
        <f>SUMIF(('Bruto bilans'!$H$84:'Bruto bilans'!$H$278),"D.6.",('Bruto bilans'!$G$84:'Bruto bilans'!$G$278))</f>
        <v>-18142.97</v>
      </c>
    </row>
    <row r="107" spans="1:10" ht="30" x14ac:dyDescent="0.25">
      <c r="A107" s="65" t="s">
        <v>131</v>
      </c>
      <c r="B107" s="64" t="s">
        <v>64</v>
      </c>
      <c r="C107" s="45"/>
      <c r="D107" s="225">
        <f t="shared" si="11"/>
        <v>4515.6299999999874</v>
      </c>
      <c r="E107" s="226"/>
      <c r="F107" s="225">
        <v>3199.0599999999904</v>
      </c>
      <c r="G107" s="226"/>
      <c r="H107" s="8"/>
      <c r="J107">
        <f>SUMIF(('Bruto bilans'!$H$114:'Bruto bilans'!$H$278),"D.7.",('Bruto bilans'!$G$114:'Bruto bilans'!$G$278))</f>
        <v>-4515.6299999999874</v>
      </c>
    </row>
    <row r="108" spans="1:10" ht="30" x14ac:dyDescent="0.25">
      <c r="A108" s="65"/>
      <c r="B108" s="63" t="s">
        <v>483</v>
      </c>
      <c r="C108" s="44"/>
      <c r="D108" s="227">
        <f>D109+D110+D111+D112</f>
        <v>0</v>
      </c>
      <c r="E108" s="228"/>
      <c r="F108" s="227">
        <v>0</v>
      </c>
      <c r="G108" s="228"/>
      <c r="J108">
        <f>SUMIF(('Bruto bilans'!$H$257:'Bruto bilans'!$H$278),"E.",('Bruto bilans'!$G$257:'Bruto bilans'!$G$278))</f>
        <v>0</v>
      </c>
    </row>
    <row r="109" spans="1:10" x14ac:dyDescent="0.25">
      <c r="A109" s="65" t="s">
        <v>132</v>
      </c>
      <c r="B109" s="4" t="s">
        <v>484</v>
      </c>
      <c r="C109" s="45"/>
      <c r="D109" s="225">
        <f>J109</f>
        <v>0</v>
      </c>
      <c r="E109" s="226"/>
      <c r="F109" s="225">
        <v>0</v>
      </c>
      <c r="G109" s="226"/>
      <c r="J109">
        <f>SUMIF(('Bruto bilans'!$H$257:'Bruto bilans'!$H$278),"E.1.",('Bruto bilans'!$G$257:'Bruto bilans'!$G$278))</f>
        <v>0</v>
      </c>
    </row>
    <row r="110" spans="1:10" x14ac:dyDescent="0.25">
      <c r="A110" s="65" t="s">
        <v>133</v>
      </c>
      <c r="B110" s="64" t="s">
        <v>65</v>
      </c>
      <c r="C110" s="45"/>
      <c r="D110" s="225">
        <f t="shared" ref="D110:D111" si="12">J110</f>
        <v>0</v>
      </c>
      <c r="E110" s="226"/>
      <c r="F110" s="225">
        <v>0</v>
      </c>
      <c r="G110" s="226"/>
      <c r="J110">
        <f>SUMIF(('Bruto bilans'!$H$257:'Bruto bilans'!$H$278),"E.2.",('Bruto bilans'!$G$257:'Bruto bilans'!$G$278))</f>
        <v>0</v>
      </c>
    </row>
    <row r="111" spans="1:10" ht="24.75" x14ac:dyDescent="0.25">
      <c r="A111" s="65" t="s">
        <v>134</v>
      </c>
      <c r="B111" s="64" t="s">
        <v>66</v>
      </c>
      <c r="C111" s="45"/>
      <c r="D111" s="225">
        <f t="shared" si="12"/>
        <v>0</v>
      </c>
      <c r="E111" s="226"/>
      <c r="F111" s="225">
        <v>0</v>
      </c>
      <c r="G111" s="226"/>
      <c r="J111">
        <f>SUMIF(('Bruto bilans'!$H$257:'Bruto bilans'!$H$278),"E.3.",('Bruto bilans'!$G$257:'Bruto bilans'!$G$278))</f>
        <v>0</v>
      </c>
    </row>
    <row r="112" spans="1:10" x14ac:dyDescent="0.25">
      <c r="A112" s="65" t="s">
        <v>135</v>
      </c>
      <c r="B112" s="4" t="s">
        <v>485</v>
      </c>
      <c r="C112" s="45"/>
      <c r="D112" s="225">
        <f>-J112</f>
        <v>0</v>
      </c>
      <c r="E112" s="226"/>
      <c r="F112" s="225">
        <v>0</v>
      </c>
      <c r="G112" s="226"/>
      <c r="J112">
        <f>SUMIF(('Bruto bilans'!$H$257:'Bruto bilans'!$H$278),"E.4.",('Bruto bilans'!$G$257:'Bruto bilans'!$G$278))</f>
        <v>0</v>
      </c>
    </row>
    <row r="113" spans="1:12" x14ac:dyDescent="0.25">
      <c r="A113" s="65" t="s">
        <v>136</v>
      </c>
      <c r="B113" s="63" t="s">
        <v>67</v>
      </c>
      <c r="C113" s="44"/>
      <c r="D113" s="227">
        <f>-J113</f>
        <v>11308.42</v>
      </c>
      <c r="E113" s="228"/>
      <c r="F113" s="227">
        <v>15421.4</v>
      </c>
      <c r="G113" s="228"/>
      <c r="J113">
        <f>SUMIF(('Bruto bilans'!$H$126:'Bruto bilans'!$H$133),"F..",('Bruto bilans'!$G$126:'Bruto bilans'!$G$133))</f>
        <v>-11308.42</v>
      </c>
    </row>
    <row r="114" spans="1:12" x14ac:dyDescent="0.25">
      <c r="A114" s="65"/>
      <c r="B114" s="63" t="s">
        <v>68</v>
      </c>
      <c r="C114" s="44"/>
      <c r="D114" s="227">
        <f>D69+D72+D84+D100+D108+D113</f>
        <v>6745111.1099999994</v>
      </c>
      <c r="E114" s="228"/>
      <c r="F114" s="227">
        <v>6656511.5099999998</v>
      </c>
      <c r="G114" s="228"/>
      <c r="H114" s="8"/>
      <c r="J114">
        <f>SUM(J68:J113)</f>
        <v>-6745111.1099999994</v>
      </c>
      <c r="K114" s="9" t="s">
        <v>340</v>
      </c>
      <c r="L114" s="10">
        <f>+D60-D114</f>
        <v>0</v>
      </c>
    </row>
    <row r="115" spans="1:12" x14ac:dyDescent="0.25">
      <c r="H115" s="8"/>
      <c r="I115" s="8"/>
    </row>
    <row r="116" spans="1:12" x14ac:dyDescent="0.25">
      <c r="H116" s="8"/>
      <c r="I116" s="8"/>
      <c r="L116" s="8"/>
    </row>
    <row r="117" spans="1:12" x14ac:dyDescent="0.25">
      <c r="A117" s="7" t="s">
        <v>486</v>
      </c>
      <c r="B117" s="68" t="s">
        <v>488</v>
      </c>
      <c r="C117" s="248" t="s">
        <v>489</v>
      </c>
      <c r="D117" s="254" t="s">
        <v>490</v>
      </c>
      <c r="E117" s="255"/>
      <c r="F117" s="255"/>
      <c r="G117" s="255"/>
      <c r="I117" s="8"/>
      <c r="K117" s="8"/>
      <c r="L117" s="8"/>
    </row>
    <row r="118" spans="1:12" x14ac:dyDescent="0.25">
      <c r="A118" s="7" t="s">
        <v>487</v>
      </c>
      <c r="B118" s="67">
        <v>42845</v>
      </c>
      <c r="C118" s="248"/>
      <c r="D118" s="97"/>
      <c r="E118" s="97"/>
      <c r="F118" s="69"/>
      <c r="G118" s="69"/>
      <c r="I118" s="8"/>
    </row>
    <row r="119" spans="1:12" x14ac:dyDescent="0.25">
      <c r="H119" s="8"/>
      <c r="I119" s="8"/>
    </row>
    <row r="120" spans="1:12" x14ac:dyDescent="0.25">
      <c r="L120" s="8"/>
    </row>
    <row r="121" spans="1:12" x14ac:dyDescent="0.25">
      <c r="D121" s="256" t="s">
        <v>491</v>
      </c>
      <c r="E121" s="257"/>
      <c r="F121" s="257"/>
      <c r="G121" s="258"/>
      <c r="I121" s="8"/>
    </row>
    <row r="122" spans="1:12" x14ac:dyDescent="0.25">
      <c r="D122" s="259"/>
      <c r="E122" s="260"/>
      <c r="F122" s="260"/>
      <c r="G122" s="261"/>
    </row>
    <row r="123" spans="1:12" x14ac:dyDescent="0.25">
      <c r="D123" s="262"/>
      <c r="E123" s="263"/>
      <c r="F123" s="263"/>
      <c r="G123" s="264"/>
    </row>
    <row r="125" spans="1:12" x14ac:dyDescent="0.25">
      <c r="B125" s="66"/>
    </row>
    <row r="126" spans="1:12" x14ac:dyDescent="0.25">
      <c r="B126" s="66"/>
    </row>
  </sheetData>
  <mergeCells count="210">
    <mergeCell ref="C117:C118"/>
    <mergeCell ref="D117:G117"/>
    <mergeCell ref="D121:G123"/>
    <mergeCell ref="A64:G64"/>
    <mergeCell ref="A65:A66"/>
    <mergeCell ref="B65:B66"/>
    <mergeCell ref="C65:C66"/>
    <mergeCell ref="D65:G65"/>
    <mergeCell ref="D66:E66"/>
    <mergeCell ref="F66:G66"/>
    <mergeCell ref="D71:E71"/>
    <mergeCell ref="F71:G71"/>
    <mergeCell ref="D72:E72"/>
    <mergeCell ref="F72:G72"/>
    <mergeCell ref="D73:E73"/>
    <mergeCell ref="F73:G73"/>
    <mergeCell ref="F67:G67"/>
    <mergeCell ref="D67:E67"/>
    <mergeCell ref="F69:G69"/>
    <mergeCell ref="D70:E70"/>
    <mergeCell ref="F70:G70"/>
    <mergeCell ref="D69:E69"/>
    <mergeCell ref="D77:E77"/>
    <mergeCell ref="F77:G77"/>
    <mergeCell ref="A5:B5"/>
    <mergeCell ref="A6:B6"/>
    <mergeCell ref="A7:B7"/>
    <mergeCell ref="A8:G8"/>
    <mergeCell ref="A9:G9"/>
    <mergeCell ref="B12:B13"/>
    <mergeCell ref="A12:A13"/>
    <mergeCell ref="C12:C13"/>
    <mergeCell ref="D12:G12"/>
    <mergeCell ref="F14:G14"/>
    <mergeCell ref="D14:E14"/>
    <mergeCell ref="A11:G11"/>
    <mergeCell ref="D18:E18"/>
    <mergeCell ref="D19:E19"/>
    <mergeCell ref="D20:E20"/>
    <mergeCell ref="D21:E21"/>
    <mergeCell ref="D22:E22"/>
    <mergeCell ref="D23:E23"/>
    <mergeCell ref="F13:G13"/>
    <mergeCell ref="D13:E13"/>
    <mergeCell ref="D15:E15"/>
    <mergeCell ref="F15:G15"/>
    <mergeCell ref="D16:E16"/>
    <mergeCell ref="D17:E17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60:E60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F31:G31"/>
    <mergeCell ref="F32:G32"/>
    <mergeCell ref="F33:G33"/>
    <mergeCell ref="F34:G34"/>
    <mergeCell ref="F35:G35"/>
    <mergeCell ref="F36:G36"/>
    <mergeCell ref="F25:G25"/>
    <mergeCell ref="F26:G26"/>
    <mergeCell ref="F27:G27"/>
    <mergeCell ref="F28:G28"/>
    <mergeCell ref="F29:G29"/>
    <mergeCell ref="F30:G30"/>
    <mergeCell ref="F43:G43"/>
    <mergeCell ref="F44:G44"/>
    <mergeCell ref="F45:G45"/>
    <mergeCell ref="F46:G46"/>
    <mergeCell ref="F47:G47"/>
    <mergeCell ref="F48:G48"/>
    <mergeCell ref="F37:G37"/>
    <mergeCell ref="F38:G38"/>
    <mergeCell ref="F39:G39"/>
    <mergeCell ref="F40:G40"/>
    <mergeCell ref="F41:G41"/>
    <mergeCell ref="F42:G42"/>
    <mergeCell ref="F55:G55"/>
    <mergeCell ref="F56:G56"/>
    <mergeCell ref="F57:G57"/>
    <mergeCell ref="F58:G58"/>
    <mergeCell ref="F59:G59"/>
    <mergeCell ref="F60:G60"/>
    <mergeCell ref="F49:G49"/>
    <mergeCell ref="F50:G50"/>
    <mergeCell ref="F51:G51"/>
    <mergeCell ref="F52:G52"/>
    <mergeCell ref="F53:G53"/>
    <mergeCell ref="F54:G54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88:E88"/>
    <mergeCell ref="F88:G88"/>
    <mergeCell ref="D89:E89"/>
    <mergeCell ref="F89:G89"/>
    <mergeCell ref="D90:E90"/>
    <mergeCell ref="F90:G90"/>
    <mergeCell ref="D86:E86"/>
    <mergeCell ref="F86:G86"/>
    <mergeCell ref="D87:E87"/>
    <mergeCell ref="F87:G87"/>
    <mergeCell ref="D94:E94"/>
    <mergeCell ref="F94:G94"/>
    <mergeCell ref="D95:E95"/>
    <mergeCell ref="F95:G95"/>
    <mergeCell ref="D96:E96"/>
    <mergeCell ref="F96:G96"/>
    <mergeCell ref="D91:E91"/>
    <mergeCell ref="F91:G91"/>
    <mergeCell ref="D92:E92"/>
    <mergeCell ref="F92:G92"/>
    <mergeCell ref="D93:E93"/>
    <mergeCell ref="F93:G93"/>
    <mergeCell ref="D100:E100"/>
    <mergeCell ref="F100:G100"/>
    <mergeCell ref="D101:E101"/>
    <mergeCell ref="F101:G101"/>
    <mergeCell ref="D102:E102"/>
    <mergeCell ref="F102:G102"/>
    <mergeCell ref="D97:E97"/>
    <mergeCell ref="F97:G97"/>
    <mergeCell ref="D98:E98"/>
    <mergeCell ref="F98:G98"/>
    <mergeCell ref="D99:E99"/>
    <mergeCell ref="F99:G99"/>
    <mergeCell ref="D106:E106"/>
    <mergeCell ref="F106:G106"/>
    <mergeCell ref="D107:E107"/>
    <mergeCell ref="F107:G107"/>
    <mergeCell ref="D108:E108"/>
    <mergeCell ref="F108:G108"/>
    <mergeCell ref="D103:E103"/>
    <mergeCell ref="F103:G103"/>
    <mergeCell ref="D104:E104"/>
    <mergeCell ref="F104:G104"/>
    <mergeCell ref="D105:E105"/>
    <mergeCell ref="F105:G105"/>
    <mergeCell ref="D112:E112"/>
    <mergeCell ref="F112:G112"/>
    <mergeCell ref="D113:E113"/>
    <mergeCell ref="F113:G113"/>
    <mergeCell ref="D114:E114"/>
    <mergeCell ref="F114:G114"/>
    <mergeCell ref="D109:E109"/>
    <mergeCell ref="F109:G109"/>
    <mergeCell ref="D110:E110"/>
    <mergeCell ref="F110:G110"/>
    <mergeCell ref="D111:E111"/>
    <mergeCell ref="F111:G111"/>
  </mergeCells>
  <conditionalFormatting sqref="E70:E116 E15:E68 E13 E10 E118:E120 E124:E1048576 G114 G100 G97 G84 G92 G81 G72">
    <cfRule type="colorScale" priority="7">
      <colorScale>
        <cfvo type="num" val="0"/>
        <cfvo type="max"/>
        <color theme="0"/>
        <color rgb="FFFFEF9C"/>
      </colorScale>
    </cfRule>
  </conditionalFormatting>
  <conditionalFormatting sqref="G70:G114">
    <cfRule type="colorScale" priority="5">
      <colorScale>
        <cfvo type="num" val="0"/>
        <cfvo type="max"/>
        <color theme="0"/>
        <color rgb="FFFFEF9C"/>
      </colorScale>
    </cfRule>
  </conditionalFormatting>
  <conditionalFormatting sqref="G70:G114">
    <cfRule type="colorScale" priority="2">
      <colorScale>
        <cfvo type="num" val="0"/>
        <cfvo type="max"/>
        <color theme="0"/>
        <color rgb="FFFFEF9C"/>
      </colorScale>
    </cfRule>
  </conditionalFormatting>
  <pageMargins left="0.25" right="0.25" top="0.75" bottom="0.75" header="0.3" footer="0.3"/>
  <pageSetup scale="94" orientation="portrait" r:id="rId1"/>
  <rowBreaks count="1" manualBreakCount="1">
    <brk id="62" max="16383" man="1"/>
  </rowBreaks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32"/>
  <sheetViews>
    <sheetView topLeftCell="A19" workbookViewId="0">
      <selection activeCell="A10" sqref="A10"/>
    </sheetView>
  </sheetViews>
  <sheetFormatPr defaultRowHeight="15" x14ac:dyDescent="0.25"/>
  <cols>
    <col min="1" max="1" width="12.140625" style="39" customWidth="1"/>
    <col min="2" max="2" width="54" style="11" customWidth="1"/>
    <col min="3" max="3" width="9.85546875" style="11" customWidth="1"/>
    <col min="4" max="4" width="6" style="38" customWidth="1"/>
    <col min="5" max="5" width="8.85546875" style="38" customWidth="1"/>
    <col min="6" max="6" width="6" style="40" customWidth="1"/>
    <col min="7" max="7" width="8.28515625" style="40" customWidth="1"/>
    <col min="8" max="8" width="18.85546875" style="40" customWidth="1"/>
    <col min="9" max="9" width="12.42578125" style="40" bestFit="1" customWidth="1"/>
    <col min="10" max="10" width="11.7109375" style="40" customWidth="1"/>
    <col min="11" max="11" width="10.140625" style="40" bestFit="1" customWidth="1"/>
    <col min="12" max="16384" width="9.140625" style="40"/>
  </cols>
  <sheetData>
    <row r="1" spans="1:11" ht="12.75" customHeight="1" x14ac:dyDescent="0.25">
      <c r="A1" s="55"/>
      <c r="B1" s="56"/>
      <c r="C1" s="56"/>
      <c r="D1" s="56"/>
      <c r="E1" s="70"/>
      <c r="F1" s="70"/>
      <c r="G1" s="56"/>
      <c r="H1" s="57"/>
      <c r="I1" s="38"/>
    </row>
    <row r="2" spans="1:11" ht="12.75" customHeight="1" x14ac:dyDescent="0.25">
      <c r="A2" s="55"/>
      <c r="B2" s="56"/>
      <c r="C2" s="56"/>
      <c r="D2" s="56"/>
      <c r="E2" s="70"/>
      <c r="F2" s="70"/>
      <c r="G2" s="56"/>
      <c r="H2" s="57"/>
      <c r="I2" s="38"/>
    </row>
    <row r="3" spans="1:11" ht="12.75" customHeight="1" x14ac:dyDescent="0.25">
      <c r="A3" s="55"/>
      <c r="B3" s="56"/>
      <c r="C3" s="56"/>
      <c r="D3" s="56"/>
      <c r="E3" s="70"/>
      <c r="F3" s="70"/>
      <c r="G3" s="56"/>
      <c r="H3" s="57"/>
      <c r="I3" s="38"/>
    </row>
    <row r="4" spans="1:11" ht="12.75" customHeight="1" x14ac:dyDescent="0.25">
      <c r="A4" s="55"/>
      <c r="B4" s="56"/>
      <c r="C4" s="56"/>
      <c r="D4" s="56"/>
      <c r="E4" s="70"/>
      <c r="F4" s="70"/>
      <c r="G4" s="56"/>
      <c r="H4" s="57"/>
      <c r="I4" s="38"/>
    </row>
    <row r="5" spans="1:11" ht="12.75" customHeight="1" x14ac:dyDescent="0.25">
      <c r="A5" s="245" t="s">
        <v>466</v>
      </c>
      <c r="B5" s="269"/>
      <c r="C5" s="72"/>
      <c r="D5" s="58" t="s">
        <v>463</v>
      </c>
      <c r="E5" s="73"/>
      <c r="F5" s="59" t="s">
        <v>842</v>
      </c>
      <c r="I5" s="38"/>
    </row>
    <row r="6" spans="1:11" ht="12.75" customHeight="1" x14ac:dyDescent="0.25">
      <c r="A6" s="245" t="s">
        <v>467</v>
      </c>
      <c r="B6" s="269"/>
      <c r="C6" s="72"/>
      <c r="D6" s="58" t="s">
        <v>464</v>
      </c>
      <c r="E6" s="73"/>
      <c r="F6" s="71" t="s">
        <v>465</v>
      </c>
      <c r="I6" s="38"/>
    </row>
    <row r="7" spans="1:11" ht="12.75" customHeight="1" x14ac:dyDescent="0.25">
      <c r="A7" s="245" t="s">
        <v>468</v>
      </c>
      <c r="B7" s="269"/>
      <c r="C7" s="72"/>
      <c r="D7" s="40"/>
      <c r="E7" s="73"/>
      <c r="F7" s="70"/>
      <c r="I7" s="38"/>
    </row>
    <row r="8" spans="1:11" ht="12.75" customHeight="1" x14ac:dyDescent="0.25">
      <c r="A8" s="270" t="s">
        <v>1050</v>
      </c>
      <c r="B8" s="270"/>
      <c r="C8" s="270"/>
      <c r="D8" s="270"/>
      <c r="E8" s="270"/>
      <c r="F8" s="270"/>
      <c r="G8" s="270"/>
      <c r="H8" s="116"/>
    </row>
    <row r="9" spans="1:11" ht="12.75" customHeight="1" x14ac:dyDescent="0.25">
      <c r="A9" s="270" t="s">
        <v>1079</v>
      </c>
      <c r="B9" s="270"/>
      <c r="C9" s="270"/>
      <c r="D9" s="270"/>
      <c r="E9" s="270"/>
      <c r="F9" s="270"/>
      <c r="G9" s="270"/>
      <c r="H9" s="116"/>
    </row>
    <row r="10" spans="1:11" ht="12.75" customHeight="1" x14ac:dyDescent="0.25"/>
    <row r="11" spans="1:11" ht="12.75" customHeight="1" x14ac:dyDescent="0.25"/>
    <row r="12" spans="1:11" ht="21.75" customHeight="1" x14ac:dyDescent="0.25">
      <c r="A12" s="273" t="s">
        <v>1</v>
      </c>
      <c r="B12" s="275" t="s">
        <v>0</v>
      </c>
      <c r="C12" s="275" t="s">
        <v>453</v>
      </c>
      <c r="D12" s="277" t="s">
        <v>452</v>
      </c>
      <c r="E12" s="275"/>
      <c r="F12" s="275"/>
      <c r="G12" s="275"/>
    </row>
    <row r="13" spans="1:11" ht="30.75" customHeight="1" x14ac:dyDescent="0.25">
      <c r="A13" s="274"/>
      <c r="B13" s="276"/>
      <c r="C13" s="275"/>
      <c r="D13" s="271" t="s">
        <v>3</v>
      </c>
      <c r="E13" s="271"/>
      <c r="F13" s="272" t="s">
        <v>2</v>
      </c>
      <c r="G13" s="272"/>
      <c r="I13" s="40" t="s">
        <v>310</v>
      </c>
      <c r="J13" s="40" t="s">
        <v>311</v>
      </c>
      <c r="K13" s="40" t="s">
        <v>312</v>
      </c>
    </row>
    <row r="14" spans="1:11" ht="14.25" customHeight="1" x14ac:dyDescent="0.25">
      <c r="A14" s="74" t="s">
        <v>454</v>
      </c>
      <c r="B14" s="75">
        <v>2</v>
      </c>
      <c r="C14" s="75">
        <v>3</v>
      </c>
      <c r="D14" s="278"/>
      <c r="E14" s="279"/>
      <c r="F14" s="278"/>
      <c r="G14" s="279"/>
    </row>
    <row r="15" spans="1:11" ht="18" customHeight="1" x14ac:dyDescent="0.25">
      <c r="A15" s="76"/>
      <c r="B15" s="81" t="s">
        <v>492</v>
      </c>
      <c r="C15" s="82"/>
      <c r="D15" s="267">
        <f>D16+D25</f>
        <v>436097.26</v>
      </c>
      <c r="E15" s="268"/>
      <c r="F15" s="267">
        <v>1811834.3699999999</v>
      </c>
      <c r="G15" s="268"/>
      <c r="H15" s="38"/>
    </row>
    <row r="16" spans="1:11" ht="18" customHeight="1" x14ac:dyDescent="0.25">
      <c r="A16" s="76"/>
      <c r="B16" s="81" t="s">
        <v>137</v>
      </c>
      <c r="C16" s="82"/>
      <c r="D16" s="267">
        <f>SUM(D17:E24)</f>
        <v>428173.34</v>
      </c>
      <c r="E16" s="268"/>
      <c r="F16" s="267">
        <v>1654319.73</v>
      </c>
      <c r="G16" s="268"/>
      <c r="H16" s="38"/>
    </row>
    <row r="17" spans="1:12" ht="18" customHeight="1" x14ac:dyDescent="0.25">
      <c r="A17" s="76" t="s">
        <v>199</v>
      </c>
      <c r="B17" s="83" t="s">
        <v>138</v>
      </c>
      <c r="C17" s="84"/>
      <c r="D17" s="265">
        <f>-I17</f>
        <v>428173.34</v>
      </c>
      <c r="E17" s="266"/>
      <c r="F17" s="265">
        <v>2072362.45</v>
      </c>
      <c r="G17" s="266"/>
      <c r="H17" s="38"/>
      <c r="I17" s="40">
        <f>SUMIF(('Bruto bilans'!$H$143:'Bruto bilans'!$H$401),"1.1.",('Bruto bilans'!$G$143:'Bruto bilans'!$G$401))</f>
        <v>-428173.34</v>
      </c>
      <c r="K17" s="38"/>
    </row>
    <row r="18" spans="1:12" ht="18" customHeight="1" x14ac:dyDescent="0.25">
      <c r="A18" s="76" t="s">
        <v>200</v>
      </c>
      <c r="B18" s="83" t="s">
        <v>139</v>
      </c>
      <c r="C18" s="84"/>
      <c r="D18" s="265">
        <f t="shared" ref="D18:D24" si="0">-I18</f>
        <v>0</v>
      </c>
      <c r="E18" s="266"/>
      <c r="F18" s="265">
        <v>0</v>
      </c>
      <c r="G18" s="266"/>
      <c r="I18" s="40">
        <f>SUMIF(('Bruto bilans'!$H$143:'Bruto bilans'!$H$401),"1.2.",('Bruto bilans'!$G$143:'Bruto bilans'!$G$401))</f>
        <v>0</v>
      </c>
    </row>
    <row r="19" spans="1:12" ht="29.25" customHeight="1" x14ac:dyDescent="0.25">
      <c r="A19" s="76" t="s">
        <v>201</v>
      </c>
      <c r="B19" s="85" t="s">
        <v>140</v>
      </c>
      <c r="C19" s="86"/>
      <c r="D19" s="265">
        <f t="shared" si="0"/>
        <v>0</v>
      </c>
      <c r="E19" s="266"/>
      <c r="F19" s="265">
        <v>0</v>
      </c>
      <c r="G19" s="266"/>
      <c r="I19" s="40">
        <f>SUMIF(('Bruto bilans'!$H$143:'Bruto bilans'!$H$401),"1.3.",('Bruto bilans'!$G$143:'Bruto bilans'!$G$401))</f>
        <v>0</v>
      </c>
    </row>
    <row r="20" spans="1:12" ht="32.25" customHeight="1" x14ac:dyDescent="0.25">
      <c r="A20" s="76" t="s">
        <v>202</v>
      </c>
      <c r="B20" s="83" t="s">
        <v>493</v>
      </c>
      <c r="C20" s="84"/>
      <c r="D20" s="265">
        <f t="shared" si="0"/>
        <v>0</v>
      </c>
      <c r="E20" s="266"/>
      <c r="F20" s="265">
        <v>0</v>
      </c>
      <c r="G20" s="266"/>
      <c r="H20" s="38"/>
      <c r="I20" s="40">
        <f>SUMIF(('Bruto bilans'!$H$143:'Bruto bilans'!$H$401),"1.4.",('Bruto bilans'!$G$143:'Bruto bilans'!$G$401))</f>
        <v>0</v>
      </c>
    </row>
    <row r="21" spans="1:12" ht="31.5" customHeight="1" x14ac:dyDescent="0.25">
      <c r="A21" s="76" t="s">
        <v>203</v>
      </c>
      <c r="B21" s="83" t="s">
        <v>424</v>
      </c>
      <c r="C21" s="84"/>
      <c r="D21" s="265">
        <f t="shared" si="0"/>
        <v>0</v>
      </c>
      <c r="E21" s="266"/>
      <c r="F21" s="265">
        <v>-418042.72</v>
      </c>
      <c r="G21" s="266"/>
      <c r="H21" s="38"/>
      <c r="I21" s="40">
        <f>SUMIF(('Bruto bilans'!$H$143:'Bruto bilans'!$H$401),"1.5.",('Bruto bilans'!$G$143:'Bruto bilans'!$G$401))</f>
        <v>0</v>
      </c>
    </row>
    <row r="22" spans="1:12" ht="18" customHeight="1" x14ac:dyDescent="0.25">
      <c r="A22" s="76" t="s">
        <v>204</v>
      </c>
      <c r="B22" s="83" t="s">
        <v>494</v>
      </c>
      <c r="C22" s="84"/>
      <c r="D22" s="265">
        <f t="shared" si="0"/>
        <v>0</v>
      </c>
      <c r="E22" s="266"/>
      <c r="F22" s="265">
        <v>0</v>
      </c>
      <c r="G22" s="266"/>
      <c r="I22" s="40">
        <f>SUMIF(('Bruto bilans'!$H$143:'Bruto bilans'!$H$401),"1.6.",('Bruto bilans'!$G$143:'Bruto bilans'!$G$401))</f>
        <v>0</v>
      </c>
    </row>
    <row r="23" spans="1:12" ht="18" customHeight="1" x14ac:dyDescent="0.25">
      <c r="A23" s="76" t="s">
        <v>205</v>
      </c>
      <c r="B23" s="83" t="s">
        <v>495</v>
      </c>
      <c r="C23" s="84"/>
      <c r="D23" s="265">
        <f t="shared" si="0"/>
        <v>0</v>
      </c>
      <c r="E23" s="266"/>
      <c r="F23" s="265">
        <v>0</v>
      </c>
      <c r="G23" s="266"/>
      <c r="I23" s="40">
        <f>SUMIF(('Bruto bilans'!$H$143:'Bruto bilans'!$H$401),"1.7.",('Bruto bilans'!$G$143:'Bruto bilans'!$G$401))</f>
        <v>0</v>
      </c>
    </row>
    <row r="24" spans="1:12" ht="18" customHeight="1" x14ac:dyDescent="0.25">
      <c r="A24" s="76" t="s">
        <v>206</v>
      </c>
      <c r="B24" s="83" t="s">
        <v>496</v>
      </c>
      <c r="C24" s="84"/>
      <c r="D24" s="265">
        <f t="shared" si="0"/>
        <v>0</v>
      </c>
      <c r="E24" s="266"/>
      <c r="F24" s="265">
        <v>0</v>
      </c>
      <c r="G24" s="266"/>
      <c r="I24" s="40">
        <f>SUMIF(('Bruto bilans'!$H$143:'Bruto bilans'!$H$401),"1.8.",('Bruto bilans'!$G$143:'Bruto bilans'!$G$401))</f>
        <v>0</v>
      </c>
    </row>
    <row r="25" spans="1:12" ht="18" customHeight="1" x14ac:dyDescent="0.25">
      <c r="A25" s="76"/>
      <c r="B25" s="81" t="s">
        <v>141</v>
      </c>
      <c r="C25" s="82"/>
      <c r="D25" s="267">
        <f>SUM(D26:E29)</f>
        <v>7923.92</v>
      </c>
      <c r="E25" s="268"/>
      <c r="F25" s="267">
        <v>157514.63999999998</v>
      </c>
      <c r="G25" s="268"/>
    </row>
    <row r="26" spans="1:12" ht="29.25" customHeight="1" x14ac:dyDescent="0.25">
      <c r="A26" s="76" t="s">
        <v>207</v>
      </c>
      <c r="B26" s="83" t="s">
        <v>142</v>
      </c>
      <c r="C26" s="84"/>
      <c r="D26" s="265">
        <f>-I26</f>
        <v>651.66</v>
      </c>
      <c r="E26" s="266"/>
      <c r="F26" s="265">
        <v>2632.91</v>
      </c>
      <c r="G26" s="266"/>
      <c r="H26" s="38"/>
      <c r="I26" s="40">
        <f>SUMIF(('Bruto bilans'!$H$143:'Bruto bilans'!$H$401),"2.1.",('Bruto bilans'!$G$143:'Bruto bilans'!$G$401))</f>
        <v>-651.66</v>
      </c>
    </row>
    <row r="27" spans="1:12" ht="27.75" customHeight="1" x14ac:dyDescent="0.25">
      <c r="A27" s="76" t="s">
        <v>208</v>
      </c>
      <c r="B27" s="83" t="s">
        <v>143</v>
      </c>
      <c r="C27" s="84"/>
      <c r="D27" s="265">
        <f>-I27</f>
        <v>222</v>
      </c>
      <c r="E27" s="266"/>
      <c r="F27" s="265">
        <v>0</v>
      </c>
      <c r="G27" s="266"/>
      <c r="H27" s="38"/>
      <c r="I27" s="40">
        <f>SUMIF(('Bruto bilans'!$H$143:'Bruto bilans'!$H$401),"2.2.",('Bruto bilans'!$G$143:'Bruto bilans'!$G$401))</f>
        <v>-222</v>
      </c>
    </row>
    <row r="28" spans="1:12" ht="18" customHeight="1" x14ac:dyDescent="0.25">
      <c r="A28" s="76" t="s">
        <v>209</v>
      </c>
      <c r="B28" s="83" t="s">
        <v>144</v>
      </c>
      <c r="C28" s="84"/>
      <c r="D28" s="265">
        <f>-I28</f>
        <v>0</v>
      </c>
      <c r="E28" s="266"/>
      <c r="F28" s="265">
        <v>0</v>
      </c>
      <c r="G28" s="266"/>
    </row>
    <row r="29" spans="1:12" ht="18" customHeight="1" x14ac:dyDescent="0.25">
      <c r="A29" s="76" t="s">
        <v>210</v>
      </c>
      <c r="B29" s="83" t="s">
        <v>145</v>
      </c>
      <c r="C29" s="84"/>
      <c r="D29" s="265">
        <f>-I29</f>
        <v>7050.26</v>
      </c>
      <c r="E29" s="266"/>
      <c r="F29" s="265">
        <v>154881.72999999998</v>
      </c>
      <c r="G29" s="266"/>
      <c r="H29" s="38"/>
      <c r="I29" s="40">
        <f>SUMIF(('Bruto bilans'!$H$143:'Bruto bilans'!$H$401),"2.4.",('Bruto bilans'!$G$143:'Bruto bilans'!$G$401))</f>
        <v>-7050.26</v>
      </c>
    </row>
    <row r="30" spans="1:12" ht="18" customHeight="1" x14ac:dyDescent="0.25">
      <c r="A30" s="76"/>
      <c r="B30" s="81" t="s">
        <v>497</v>
      </c>
      <c r="C30" s="82"/>
      <c r="D30" s="267">
        <f>D31+D42+D48</f>
        <v>405045.99</v>
      </c>
      <c r="E30" s="268"/>
      <c r="F30" s="267">
        <v>1350194.77</v>
      </c>
      <c r="G30" s="268"/>
      <c r="H30" s="38"/>
    </row>
    <row r="31" spans="1:12" ht="18" customHeight="1" x14ac:dyDescent="0.25">
      <c r="A31" s="76"/>
      <c r="B31" s="81" t="s">
        <v>146</v>
      </c>
      <c r="C31" s="82"/>
      <c r="D31" s="267">
        <f>SUM(D32:E41)</f>
        <v>301381.71999999997</v>
      </c>
      <c r="E31" s="268"/>
      <c r="F31" s="267">
        <v>594136.9</v>
      </c>
      <c r="G31" s="268"/>
      <c r="H31" s="38"/>
      <c r="J31" s="40">
        <v>86447.6</v>
      </c>
      <c r="L31" s="38"/>
    </row>
    <row r="32" spans="1:12" ht="18" customHeight="1" x14ac:dyDescent="0.25">
      <c r="A32" s="76" t="s">
        <v>211</v>
      </c>
      <c r="B32" s="83" t="s">
        <v>498</v>
      </c>
      <c r="C32" s="84"/>
      <c r="D32" s="265">
        <f t="shared" ref="D32:D79" si="1">I32</f>
        <v>259884.97</v>
      </c>
      <c r="E32" s="266"/>
      <c r="F32" s="265">
        <v>955816.61</v>
      </c>
      <c r="G32" s="266"/>
      <c r="H32" s="38"/>
      <c r="I32" s="40">
        <f>SUMIF(('Bruto bilans'!$H$136:'Bruto bilans'!$H$401),"1.1..",('Bruto bilans'!$G$136:'Bruto bilans'!$G$401))</f>
        <v>259884.97</v>
      </c>
      <c r="J32" s="38">
        <f>J31-D31</f>
        <v>-214934.11999999997</v>
      </c>
      <c r="K32" s="38"/>
      <c r="L32" s="38"/>
    </row>
    <row r="33" spans="1:12" ht="18" customHeight="1" x14ac:dyDescent="0.25">
      <c r="A33" s="76" t="s">
        <v>212</v>
      </c>
      <c r="B33" s="83" t="s">
        <v>147</v>
      </c>
      <c r="C33" s="84"/>
      <c r="D33" s="265">
        <f t="shared" si="1"/>
        <v>1070</v>
      </c>
      <c r="E33" s="266"/>
      <c r="F33" s="265">
        <v>3980</v>
      </c>
      <c r="G33" s="266"/>
      <c r="H33" s="38"/>
      <c r="I33" s="40">
        <f>SUMIF(('Bruto bilans'!$H$136:'Bruto bilans'!$H$254),"1.2..",('Bruto bilans'!$G$136:'Bruto bilans'!$G$254))</f>
        <v>1070</v>
      </c>
      <c r="L33" s="38"/>
    </row>
    <row r="34" spans="1:12" ht="28.5" customHeight="1" x14ac:dyDescent="0.25">
      <c r="A34" s="76" t="s">
        <v>213</v>
      </c>
      <c r="B34" s="83" t="s">
        <v>148</v>
      </c>
      <c r="C34" s="84"/>
      <c r="D34" s="265">
        <f t="shared" si="1"/>
        <v>0</v>
      </c>
      <c r="E34" s="266"/>
      <c r="F34" s="265">
        <v>0</v>
      </c>
      <c r="G34" s="266"/>
      <c r="H34" s="38"/>
      <c r="I34" s="40">
        <f>SUMIF(('Bruto bilans'!$H$143:'Bruto bilans'!$H$401),"1.3..",('Bruto bilans'!$G$143:'Bruto bilans'!$G$401))</f>
        <v>0</v>
      </c>
    </row>
    <row r="35" spans="1:12" ht="27" customHeight="1" x14ac:dyDescent="0.25">
      <c r="A35" s="76" t="s">
        <v>214</v>
      </c>
      <c r="B35" s="83" t="s">
        <v>499</v>
      </c>
      <c r="C35" s="84"/>
      <c r="D35" s="265">
        <f t="shared" si="1"/>
        <v>0</v>
      </c>
      <c r="E35" s="266"/>
      <c r="F35" s="265">
        <v>0</v>
      </c>
      <c r="G35" s="266"/>
      <c r="I35" s="40">
        <f>SUMIF(('Bruto bilans'!$H$143:'Bruto bilans'!$H$401),"1.4..",('Bruto bilans'!$G$143:'Bruto bilans'!$G$401))</f>
        <v>0</v>
      </c>
    </row>
    <row r="36" spans="1:12" ht="27" customHeight="1" x14ac:dyDescent="0.25">
      <c r="A36" s="76" t="s">
        <v>215</v>
      </c>
      <c r="B36" s="83" t="s">
        <v>500</v>
      </c>
      <c r="C36" s="84"/>
      <c r="D36" s="265">
        <f t="shared" si="1"/>
        <v>0</v>
      </c>
      <c r="E36" s="266"/>
      <c r="F36" s="265">
        <v>-379617.6</v>
      </c>
      <c r="G36" s="266"/>
      <c r="I36" s="40">
        <f>SUMIF(('Bruto bilans'!$H$143:'Bruto bilans'!$H$401),"1.5..",('Bruto bilans'!$G$143:'Bruto bilans'!$G$401))</f>
        <v>0</v>
      </c>
    </row>
    <row r="37" spans="1:12" ht="28.5" customHeight="1" x14ac:dyDescent="0.25">
      <c r="A37" s="76" t="s">
        <v>216</v>
      </c>
      <c r="B37" s="83" t="s">
        <v>501</v>
      </c>
      <c r="C37" s="84"/>
      <c r="D37" s="265">
        <f t="shared" si="1"/>
        <v>40426.75</v>
      </c>
      <c r="E37" s="266"/>
      <c r="F37" s="265">
        <v>-13291.949999999997</v>
      </c>
      <c r="G37" s="266"/>
      <c r="H37" s="38"/>
      <c r="I37" s="40">
        <f>SUMIF(('Bruto bilans'!$H$136:'Bruto bilans'!$H$254),"1.6..",('Bruto bilans'!$G$136:'Bruto bilans'!$G$254))</f>
        <v>40426.75</v>
      </c>
    </row>
    <row r="38" spans="1:12" ht="30.75" customHeight="1" x14ac:dyDescent="0.25">
      <c r="A38" s="76" t="s">
        <v>217</v>
      </c>
      <c r="B38" s="83" t="s">
        <v>502</v>
      </c>
      <c r="C38" s="84"/>
      <c r="D38" s="265">
        <f t="shared" si="1"/>
        <v>0</v>
      </c>
      <c r="E38" s="266"/>
      <c r="F38" s="265">
        <v>5627.6500000000015</v>
      </c>
      <c r="G38" s="266"/>
      <c r="I38" s="40">
        <f>SUMIF(('Bruto bilans'!$H$136:'Bruto bilans'!$H$254),"1.7..",('Bruto bilans'!$G$136:'Bruto bilans'!$G$254))</f>
        <v>0</v>
      </c>
    </row>
    <row r="39" spans="1:12" ht="29.25" customHeight="1" x14ac:dyDescent="0.25">
      <c r="A39" s="76" t="s">
        <v>218</v>
      </c>
      <c r="B39" s="83" t="s">
        <v>503</v>
      </c>
      <c r="C39" s="84"/>
      <c r="D39" s="265">
        <f t="shared" si="1"/>
        <v>0</v>
      </c>
      <c r="E39" s="266"/>
      <c r="F39" s="265">
        <v>41235.71</v>
      </c>
      <c r="G39" s="266"/>
      <c r="H39" s="38"/>
      <c r="I39" s="40">
        <f>SUMIF(('Bruto bilans'!$H$136:'Bruto bilans'!$H$254),"1.8..",('Bruto bilans'!$G$136:'Bruto bilans'!$G$254))</f>
        <v>0</v>
      </c>
    </row>
    <row r="40" spans="1:12" ht="45.75" customHeight="1" x14ac:dyDescent="0.25">
      <c r="A40" s="76" t="s">
        <v>219</v>
      </c>
      <c r="B40" s="83" t="s">
        <v>149</v>
      </c>
      <c r="C40" s="84"/>
      <c r="D40" s="265">
        <f t="shared" si="1"/>
        <v>0</v>
      </c>
      <c r="E40" s="266"/>
      <c r="F40" s="265">
        <v>-19613.52</v>
      </c>
      <c r="G40" s="266"/>
      <c r="I40" s="40">
        <f>SUMIF(('Bruto bilans'!$H$136:'Bruto bilans'!$H$254),"1.9..",('Bruto bilans'!$G$136:'Bruto bilans'!$G$254))</f>
        <v>0</v>
      </c>
    </row>
    <row r="41" spans="1:12" ht="18" customHeight="1" x14ac:dyDescent="0.25">
      <c r="A41" s="76" t="s">
        <v>220</v>
      </c>
      <c r="B41" s="83" t="s">
        <v>150</v>
      </c>
      <c r="C41" s="84"/>
      <c r="D41" s="265">
        <f t="shared" si="1"/>
        <v>0</v>
      </c>
      <c r="E41" s="266"/>
      <c r="F41" s="265">
        <v>0</v>
      </c>
      <c r="G41" s="266"/>
      <c r="I41" s="40">
        <f>SUMIF(('Bruto bilans'!$H$143:'Bruto bilans'!$H$401),"1.10..",('Bruto bilans'!$G$143:'Bruto bilans'!$G$401))</f>
        <v>0</v>
      </c>
    </row>
    <row r="42" spans="1:12" ht="18" customHeight="1" x14ac:dyDescent="0.25">
      <c r="A42" s="76"/>
      <c r="B42" s="81" t="s">
        <v>504</v>
      </c>
      <c r="C42" s="82"/>
      <c r="D42" s="267">
        <f>SUM(D43:E47)</f>
        <v>95825.470000000016</v>
      </c>
      <c r="E42" s="268"/>
      <c r="F42" s="267">
        <v>733817.45000000007</v>
      </c>
      <c r="G42" s="268"/>
    </row>
    <row r="43" spans="1:12" ht="33.75" customHeight="1" x14ac:dyDescent="0.25">
      <c r="A43" s="76" t="s">
        <v>508</v>
      </c>
      <c r="B43" s="83" t="s">
        <v>505</v>
      </c>
      <c r="C43" s="84"/>
      <c r="D43" s="265">
        <f t="shared" si="1"/>
        <v>0</v>
      </c>
      <c r="E43" s="266"/>
      <c r="F43" s="265">
        <v>0</v>
      </c>
      <c r="G43" s="266"/>
      <c r="I43" s="40">
        <f>SUMIF(('Bruto bilans'!$H$143:'Bruto bilans'!$H$401),"2.1..",('Bruto bilans'!$G$143:'Bruto bilans'!$G$401))</f>
        <v>0</v>
      </c>
    </row>
    <row r="44" spans="1:12" ht="18" customHeight="1" x14ac:dyDescent="0.25">
      <c r="A44" s="76" t="s">
        <v>221</v>
      </c>
      <c r="B44" s="83" t="s">
        <v>506</v>
      </c>
      <c r="C44" s="84"/>
      <c r="D44" s="265">
        <f t="shared" si="1"/>
        <v>102913.98000000001</v>
      </c>
      <c r="E44" s="266"/>
      <c r="F44" s="265">
        <v>733759.29</v>
      </c>
      <c r="G44" s="266"/>
      <c r="H44" s="38"/>
      <c r="I44" s="40">
        <f>SUMIF(('Bruto bilans'!$H$143:'Bruto bilans'!$H$401),"2.2..",('Bruto bilans'!$G$143:'Bruto bilans'!$G$401))</f>
        <v>102913.98000000001</v>
      </c>
    </row>
    <row r="45" spans="1:12" ht="18" customHeight="1" x14ac:dyDescent="0.25">
      <c r="A45" s="76" t="s">
        <v>222</v>
      </c>
      <c r="B45" s="83" t="s">
        <v>507</v>
      </c>
      <c r="C45" s="84"/>
      <c r="D45" s="265">
        <f t="shared" si="1"/>
        <v>0</v>
      </c>
      <c r="E45" s="266"/>
      <c r="F45" s="265">
        <v>0</v>
      </c>
      <c r="G45" s="266"/>
      <c r="I45" s="40">
        <f>SUMIF(('Bruto bilans'!$H$143:'Bruto bilans'!$H$401),"2.5..",('Bruto bilans'!$G$143:'Bruto bilans'!$G$401))</f>
        <v>0</v>
      </c>
    </row>
    <row r="46" spans="1:12" ht="18" customHeight="1" x14ac:dyDescent="0.25">
      <c r="A46" s="76" t="s">
        <v>511</v>
      </c>
      <c r="B46" s="87" t="s">
        <v>509</v>
      </c>
      <c r="C46" s="84"/>
      <c r="D46" s="265">
        <f t="shared" ref="D46" si="2">I46</f>
        <v>-6829.51</v>
      </c>
      <c r="E46" s="266"/>
      <c r="F46" s="265">
        <v>1335.1599999999996</v>
      </c>
      <c r="G46" s="266"/>
      <c r="H46" s="38"/>
      <c r="I46" s="40">
        <f>SUMIF(('Bruto bilans'!$H$143:'Bruto bilans'!$H$401),"2.4..",('Bruto bilans'!$G$143:'Bruto bilans'!$G$401))</f>
        <v>-6829.51</v>
      </c>
    </row>
    <row r="47" spans="1:12" ht="18" customHeight="1" x14ac:dyDescent="0.25">
      <c r="A47" s="76" t="s">
        <v>512</v>
      </c>
      <c r="B47" s="87" t="s">
        <v>510</v>
      </c>
      <c r="C47" s="88"/>
      <c r="D47" s="265">
        <f t="shared" si="1"/>
        <v>-259</v>
      </c>
      <c r="E47" s="266"/>
      <c r="F47" s="265">
        <v>-1277</v>
      </c>
      <c r="G47" s="266"/>
      <c r="I47" s="40">
        <f>SUMIF(('Bruto bilans'!$H$143:'Bruto bilans'!$H$401),"2.26..",('Bruto bilans'!$G$143:'Bruto bilans'!$G$401))</f>
        <v>-259</v>
      </c>
    </row>
    <row r="48" spans="1:12" ht="18" customHeight="1" x14ac:dyDescent="0.25">
      <c r="A48" s="76"/>
      <c r="B48" s="81" t="s">
        <v>151</v>
      </c>
      <c r="C48" s="82"/>
      <c r="D48" s="267">
        <f>SUM(D49:E57)</f>
        <v>7838.8</v>
      </c>
      <c r="E48" s="268"/>
      <c r="F48" s="267">
        <v>22240.42</v>
      </c>
      <c r="G48" s="268"/>
    </row>
    <row r="49" spans="1:9" ht="18" customHeight="1" x14ac:dyDescent="0.25">
      <c r="A49" s="76" t="s">
        <v>223</v>
      </c>
      <c r="B49" s="83" t="s">
        <v>513</v>
      </c>
      <c r="C49" s="84"/>
      <c r="D49" s="265">
        <f t="shared" si="1"/>
        <v>0</v>
      </c>
      <c r="E49" s="266"/>
      <c r="F49" s="265">
        <v>0</v>
      </c>
      <c r="G49" s="266"/>
      <c r="I49" s="40">
        <f>SUMIF(('Bruto bilans'!$H$143:'Bruto bilans'!$H$401),"3.1..",('Bruto bilans'!$G$143:'Bruto bilans'!$G$401))</f>
        <v>0</v>
      </c>
    </row>
    <row r="50" spans="1:9" ht="18" customHeight="1" x14ac:dyDescent="0.25">
      <c r="A50" s="76" t="s">
        <v>224</v>
      </c>
      <c r="B50" s="83" t="s">
        <v>152</v>
      </c>
      <c r="C50" s="84"/>
      <c r="D50" s="265">
        <f t="shared" si="1"/>
        <v>0</v>
      </c>
      <c r="E50" s="266"/>
      <c r="F50" s="265">
        <v>0</v>
      </c>
      <c r="G50" s="266"/>
      <c r="I50" s="40">
        <f>SUMIF(('Bruto bilans'!$H$143:'Bruto bilans'!$H$401),"3.2..",('Bruto bilans'!$G$143:'Bruto bilans'!$G$401))</f>
        <v>0</v>
      </c>
    </row>
    <row r="51" spans="1:9" ht="18" customHeight="1" x14ac:dyDescent="0.25">
      <c r="A51" s="76" t="s">
        <v>225</v>
      </c>
      <c r="B51" s="83" t="s">
        <v>153</v>
      </c>
      <c r="C51" s="84"/>
      <c r="D51" s="265">
        <f t="shared" si="1"/>
        <v>0</v>
      </c>
      <c r="E51" s="266"/>
      <c r="F51" s="265">
        <v>0</v>
      </c>
      <c r="G51" s="266"/>
      <c r="I51" s="40">
        <f>SUMIF(('Bruto bilans'!$H$143:'Bruto bilans'!$H$401),"3.3..",('Bruto bilans'!$G$143:'Bruto bilans'!$G$401))</f>
        <v>0</v>
      </c>
    </row>
    <row r="52" spans="1:9" ht="18" customHeight="1" x14ac:dyDescent="0.25">
      <c r="A52" s="76" t="s">
        <v>226</v>
      </c>
      <c r="B52" s="83" t="s">
        <v>154</v>
      </c>
      <c r="C52" s="84"/>
      <c r="D52" s="265">
        <f t="shared" si="1"/>
        <v>7838.8</v>
      </c>
      <c r="E52" s="266"/>
      <c r="F52" s="265">
        <v>22120.3</v>
      </c>
      <c r="G52" s="266"/>
      <c r="I52" s="40">
        <f>SUMIF(('Bruto bilans'!$H$143:'Bruto bilans'!$H$401),"3.4..",('Bruto bilans'!$G$143:'Bruto bilans'!$G$401))</f>
        <v>7838.8</v>
      </c>
    </row>
    <row r="53" spans="1:9" ht="18" customHeight="1" x14ac:dyDescent="0.25">
      <c r="A53" s="76" t="s">
        <v>515</v>
      </c>
      <c r="B53" s="83" t="s">
        <v>514</v>
      </c>
      <c r="C53" s="84"/>
      <c r="D53" s="265">
        <f t="shared" si="1"/>
        <v>0</v>
      </c>
      <c r="E53" s="266"/>
      <c r="F53" s="265">
        <v>0</v>
      </c>
      <c r="G53" s="266"/>
      <c r="H53" s="38"/>
      <c r="I53" s="40">
        <f>SUMIF(('Bruto bilans'!$H$143:'Bruto bilans'!$H$401),"3.5..",('Bruto bilans'!$G$143:'Bruto bilans'!$G$401))</f>
        <v>0</v>
      </c>
    </row>
    <row r="54" spans="1:9" ht="18" customHeight="1" x14ac:dyDescent="0.25">
      <c r="A54" s="76" t="s">
        <v>227</v>
      </c>
      <c r="B54" s="83" t="s">
        <v>516</v>
      </c>
      <c r="C54" s="84"/>
      <c r="D54" s="265">
        <f t="shared" ref="D54" si="3">I54</f>
        <v>0</v>
      </c>
      <c r="E54" s="266"/>
      <c r="F54" s="265">
        <v>0</v>
      </c>
      <c r="G54" s="266"/>
      <c r="I54" s="40">
        <f>SUMIF(('Bruto bilans'!$H$143:'Bruto bilans'!$H$401),"3.6..",('Bruto bilans'!$G$143:'Bruto bilans'!$G$401))</f>
        <v>0</v>
      </c>
    </row>
    <row r="55" spans="1:9" ht="32.25" customHeight="1" x14ac:dyDescent="0.25">
      <c r="A55" s="76" t="s">
        <v>228</v>
      </c>
      <c r="B55" s="83" t="s">
        <v>517</v>
      </c>
      <c r="C55" s="84"/>
      <c r="D55" s="265">
        <f t="shared" si="1"/>
        <v>0</v>
      </c>
      <c r="E55" s="266"/>
      <c r="F55" s="265">
        <v>120.12</v>
      </c>
      <c r="G55" s="266"/>
      <c r="I55" s="40">
        <f>SUMIF(('Bruto bilans'!$H$143:'Bruto bilans'!$H$401),"3.7..",('Bruto bilans'!$G$143:'Bruto bilans'!$G$401))</f>
        <v>0</v>
      </c>
    </row>
    <row r="56" spans="1:9" ht="18" customHeight="1" x14ac:dyDescent="0.25">
      <c r="A56" s="76" t="s">
        <v>229</v>
      </c>
      <c r="B56" s="83" t="s">
        <v>518</v>
      </c>
      <c r="C56" s="84"/>
      <c r="D56" s="265">
        <f t="shared" si="1"/>
        <v>0</v>
      </c>
      <c r="E56" s="266"/>
      <c r="F56" s="265">
        <v>0</v>
      </c>
      <c r="G56" s="266"/>
    </row>
    <row r="57" spans="1:9" ht="18" customHeight="1" x14ac:dyDescent="0.25">
      <c r="A57" s="76" t="s">
        <v>230</v>
      </c>
      <c r="B57" s="83" t="s">
        <v>519</v>
      </c>
      <c r="C57" s="84"/>
      <c r="D57" s="265">
        <f>I57</f>
        <v>0</v>
      </c>
      <c r="E57" s="266"/>
      <c r="F57" s="265">
        <v>0</v>
      </c>
      <c r="G57" s="266"/>
      <c r="I57" s="40">
        <f>SUMIF(('Bruto bilans'!$H$143:'Bruto bilans'!$H$401),"3.9..",('Bruto bilans'!$G$143:'Bruto bilans'!$G$401))</f>
        <v>0</v>
      </c>
    </row>
    <row r="58" spans="1:9" ht="18" customHeight="1" x14ac:dyDescent="0.25">
      <c r="A58" s="77"/>
      <c r="B58" s="81" t="s">
        <v>520</v>
      </c>
      <c r="C58" s="82"/>
      <c r="D58" s="267">
        <f>D15-D30</f>
        <v>31051.270000000019</v>
      </c>
      <c r="E58" s="268"/>
      <c r="F58" s="267">
        <v>461639.59999999986</v>
      </c>
      <c r="G58" s="268"/>
      <c r="H58" s="38"/>
    </row>
    <row r="59" spans="1:9" ht="33" customHeight="1" x14ac:dyDescent="0.25">
      <c r="A59" s="76"/>
      <c r="B59" s="81" t="s">
        <v>521</v>
      </c>
      <c r="C59" s="82"/>
      <c r="D59" s="267">
        <f>+D60-D61+D62+D63+D67+D72+D79-D80</f>
        <v>134512.90000000002</v>
      </c>
      <c r="E59" s="268"/>
      <c r="F59" s="267">
        <v>804394.8899999999</v>
      </c>
      <c r="G59" s="268"/>
      <c r="H59" s="38"/>
    </row>
    <row r="60" spans="1:9" ht="18" customHeight="1" x14ac:dyDescent="0.25">
      <c r="A60" s="76" t="s">
        <v>231</v>
      </c>
      <c r="B60" s="81" t="s">
        <v>155</v>
      </c>
      <c r="C60" s="82"/>
      <c r="D60" s="267">
        <f>I60</f>
        <v>45232.460000000006</v>
      </c>
      <c r="E60" s="268"/>
      <c r="F60" s="267">
        <v>218978.59999999998</v>
      </c>
      <c r="G60" s="268"/>
      <c r="H60" s="38"/>
      <c r="I60" s="40">
        <f>SUMIF(('Bruto bilans'!$H$143:'Bruto bilans'!$H$401),"1..",('Bruto bilans'!$G$143:'Bruto bilans'!$G$401))</f>
        <v>45232.460000000006</v>
      </c>
    </row>
    <row r="61" spans="1:9" ht="18" customHeight="1" x14ac:dyDescent="0.25">
      <c r="A61" s="76" t="s">
        <v>232</v>
      </c>
      <c r="B61" s="81" t="s">
        <v>158</v>
      </c>
      <c r="C61" s="82"/>
      <c r="D61" s="267">
        <f>-I61</f>
        <v>0</v>
      </c>
      <c r="E61" s="268"/>
      <c r="F61" s="267">
        <v>149.40999999999985</v>
      </c>
      <c r="G61" s="268"/>
      <c r="I61" s="40">
        <f>SUMIF(('Bruto bilans'!$H$143:'Bruto bilans'!$H$401),"2..",('Bruto bilans'!$G$143:'Bruto bilans'!$G$401))</f>
        <v>0</v>
      </c>
    </row>
    <row r="62" spans="1:9" x14ac:dyDescent="0.25">
      <c r="A62" s="76" t="s">
        <v>233</v>
      </c>
      <c r="B62" s="81" t="s">
        <v>156</v>
      </c>
      <c r="C62" s="82"/>
      <c r="D62" s="267">
        <f>I62</f>
        <v>1055.26</v>
      </c>
      <c r="E62" s="268"/>
      <c r="F62" s="267">
        <v>7433.52</v>
      </c>
      <c r="G62" s="268"/>
      <c r="I62" s="40">
        <f>SUMIF(('Bruto bilans'!$H$143:'Bruto bilans'!$H$401),"3..",('Bruto bilans'!$G$143:'Bruto bilans'!$G$401))</f>
        <v>1055.26</v>
      </c>
    </row>
    <row r="63" spans="1:9" x14ac:dyDescent="0.25">
      <c r="A63" s="76"/>
      <c r="B63" s="81" t="s">
        <v>157</v>
      </c>
      <c r="C63" s="82"/>
      <c r="D63" s="267">
        <f>SUM(D64:E66)</f>
        <v>50346.439999999995</v>
      </c>
      <c r="E63" s="268"/>
      <c r="F63" s="267">
        <v>217281.96</v>
      </c>
      <c r="G63" s="268"/>
      <c r="H63" s="38"/>
      <c r="I63" s="40">
        <f>SUMIF(('Bruto bilans'!$H$143:'Bruto bilans'!$H$401),"4..",('Bruto bilans'!$G$143:'Bruto bilans'!$G$401))</f>
        <v>0</v>
      </c>
    </row>
    <row r="64" spans="1:9" ht="30" x14ac:dyDescent="0.25">
      <c r="A64" s="78" t="s">
        <v>234</v>
      </c>
      <c r="B64" s="89" t="s">
        <v>159</v>
      </c>
      <c r="C64" s="88"/>
      <c r="D64" s="265">
        <f t="shared" si="1"/>
        <v>29788.16</v>
      </c>
      <c r="E64" s="266"/>
      <c r="F64" s="265">
        <v>128447.67</v>
      </c>
      <c r="G64" s="266"/>
      <c r="I64" s="40">
        <f>SUMIF(('Bruto bilans'!$H$143:'Bruto bilans'!$H$401),"4.1..",('Bruto bilans'!$G$143:'Bruto bilans'!$G$401))</f>
        <v>29788.16</v>
      </c>
    </row>
    <row r="65" spans="1:9" x14ac:dyDescent="0.25">
      <c r="A65" s="76" t="s">
        <v>235</v>
      </c>
      <c r="B65" s="89" t="s">
        <v>160</v>
      </c>
      <c r="C65" s="88"/>
      <c r="D65" s="265">
        <f t="shared" si="1"/>
        <v>20558.279999999995</v>
      </c>
      <c r="E65" s="266"/>
      <c r="F65" s="265">
        <v>88834.29</v>
      </c>
      <c r="G65" s="266"/>
      <c r="I65" s="40">
        <f>SUMIF(('Bruto bilans'!$H$143:'Bruto bilans'!$H$401),"4.3..",('Bruto bilans'!$G$143:'Bruto bilans'!$G$401))</f>
        <v>20558.279999999995</v>
      </c>
    </row>
    <row r="66" spans="1:9" x14ac:dyDescent="0.25">
      <c r="A66" s="76" t="s">
        <v>236</v>
      </c>
      <c r="B66" s="89" t="s">
        <v>161</v>
      </c>
      <c r="C66" s="88"/>
      <c r="D66" s="265"/>
      <c r="E66" s="266"/>
      <c r="F66" s="265"/>
      <c r="G66" s="266"/>
      <c r="I66" s="40">
        <f>SUMIF(('Bruto bilans'!$H$143:'Bruto bilans'!$H$401),"4.5..",('Bruto bilans'!$G$143:'Bruto bilans'!$G$401))</f>
        <v>0</v>
      </c>
    </row>
    <row r="67" spans="1:9" x14ac:dyDescent="0.25">
      <c r="A67" s="76"/>
      <c r="B67" s="81" t="s">
        <v>162</v>
      </c>
      <c r="C67" s="82"/>
      <c r="D67" s="267">
        <f>SUM(D68:E71)</f>
        <v>1975.9899999999998</v>
      </c>
      <c r="E67" s="268"/>
      <c r="F67" s="267">
        <v>15200.869999999999</v>
      </c>
      <c r="G67" s="268"/>
      <c r="H67" s="38"/>
    </row>
    <row r="68" spans="1:9" ht="30" x14ac:dyDescent="0.25">
      <c r="A68" s="76" t="s">
        <v>237</v>
      </c>
      <c r="B68" s="89" t="s">
        <v>163</v>
      </c>
      <c r="C68" s="88"/>
      <c r="D68" s="265">
        <f t="shared" ref="D68" si="4">I68</f>
        <v>0</v>
      </c>
      <c r="E68" s="266"/>
      <c r="F68" s="265">
        <v>331.06</v>
      </c>
      <c r="G68" s="266"/>
      <c r="I68" s="40">
        <f>SUMIF(('Bruto bilans'!$H$143:'Bruto bilans'!$H$401),"5.1..",('Bruto bilans'!$G$143:'Bruto bilans'!$G$401))</f>
        <v>0</v>
      </c>
    </row>
    <row r="69" spans="1:9" ht="18" customHeight="1" x14ac:dyDescent="0.25">
      <c r="A69" s="76" t="s">
        <v>238</v>
      </c>
      <c r="B69" s="89" t="s">
        <v>164</v>
      </c>
      <c r="C69" s="88"/>
      <c r="D69" s="265">
        <f t="shared" si="1"/>
        <v>1042.9299999999998</v>
      </c>
      <c r="E69" s="266"/>
      <c r="F69" s="265">
        <v>8621.0999999999985</v>
      </c>
      <c r="G69" s="266"/>
      <c r="I69" s="40">
        <f>SUMIF(('Bruto bilans'!$H$143:'Bruto bilans'!$H$401),"5.2..",('Bruto bilans'!$G$143:'Bruto bilans'!$G$401))</f>
        <v>1042.9299999999998</v>
      </c>
    </row>
    <row r="70" spans="1:9" ht="18" customHeight="1" x14ac:dyDescent="0.25">
      <c r="A70" s="76" t="s">
        <v>239</v>
      </c>
      <c r="B70" s="89" t="s">
        <v>165</v>
      </c>
      <c r="C70" s="88"/>
      <c r="D70" s="265">
        <f t="shared" si="1"/>
        <v>933.06</v>
      </c>
      <c r="E70" s="266"/>
      <c r="F70" s="265">
        <v>6248.71</v>
      </c>
      <c r="G70" s="266"/>
      <c r="I70" s="40">
        <f>SUMIF(('Bruto bilans'!$H$143:'Bruto bilans'!$H$401),"5.3..",('Bruto bilans'!$G$143:'Bruto bilans'!$G$401))</f>
        <v>933.06</v>
      </c>
    </row>
    <row r="71" spans="1:9" ht="18" customHeight="1" x14ac:dyDescent="0.25">
      <c r="A71" s="76" t="s">
        <v>240</v>
      </c>
      <c r="B71" s="87" t="s">
        <v>522</v>
      </c>
      <c r="C71" s="88"/>
      <c r="D71" s="265">
        <f t="shared" ref="D71" si="5">I71</f>
        <v>0</v>
      </c>
      <c r="E71" s="266"/>
      <c r="F71" s="265">
        <v>0</v>
      </c>
      <c r="G71" s="266"/>
      <c r="I71" s="40">
        <f>SUMIF(('Bruto bilans'!$H$143:'Bruto bilans'!$H$401),"5.4..",('Bruto bilans'!$G$143:'Bruto bilans'!$G$401))</f>
        <v>0</v>
      </c>
    </row>
    <row r="72" spans="1:9" x14ac:dyDescent="0.25">
      <c r="A72" s="76"/>
      <c r="B72" s="81" t="s">
        <v>166</v>
      </c>
      <c r="C72" s="82"/>
      <c r="D72" s="267">
        <f>SUM(D73:E78)</f>
        <v>29379.850000000006</v>
      </c>
      <c r="E72" s="268"/>
      <c r="F72" s="267">
        <v>312564.17000000004</v>
      </c>
      <c r="G72" s="268"/>
    </row>
    <row r="73" spans="1:9" ht="45" x14ac:dyDescent="0.25">
      <c r="A73" s="76" t="s">
        <v>241</v>
      </c>
      <c r="B73" s="89" t="s">
        <v>167</v>
      </c>
      <c r="C73" s="88"/>
      <c r="D73" s="265">
        <f t="shared" si="1"/>
        <v>6764.58</v>
      </c>
      <c r="E73" s="266"/>
      <c r="F73" s="265">
        <v>115508.05000000002</v>
      </c>
      <c r="G73" s="266"/>
      <c r="I73" s="40">
        <f>SUMIF(('Bruto bilans'!$H$143:'Bruto bilans'!$H$401),"6.1..",('Bruto bilans'!$G$143:'Bruto bilans'!$G$401))</f>
        <v>6764.58</v>
      </c>
    </row>
    <row r="74" spans="1:9" x14ac:dyDescent="0.25">
      <c r="A74" s="76" t="s">
        <v>242</v>
      </c>
      <c r="B74" s="89" t="s">
        <v>168</v>
      </c>
      <c r="C74" s="88"/>
      <c r="D74" s="265">
        <f t="shared" si="1"/>
        <v>16743.900000000001</v>
      </c>
      <c r="E74" s="266"/>
      <c r="F74" s="265">
        <v>66975.59</v>
      </c>
      <c r="G74" s="266"/>
      <c r="I74" s="40">
        <f>SUMIF(('Bruto bilans'!$H$143:'Bruto bilans'!$H$401),"6.2..",('Bruto bilans'!$G$143:'Bruto bilans'!$G$401))</f>
        <v>16743.900000000001</v>
      </c>
    </row>
    <row r="75" spans="1:9" x14ac:dyDescent="0.25">
      <c r="A75" s="76" t="s">
        <v>243</v>
      </c>
      <c r="B75" s="87" t="s">
        <v>523</v>
      </c>
      <c r="C75" s="88"/>
      <c r="D75" s="265">
        <f t="shared" si="1"/>
        <v>1185.57</v>
      </c>
      <c r="E75" s="266"/>
      <c r="F75" s="265">
        <v>8803.86</v>
      </c>
      <c r="G75" s="266"/>
      <c r="I75" s="40">
        <f>SUMIF(('Bruto bilans'!$H$143:'Bruto bilans'!$H$401),"6.3..",('Bruto bilans'!$G$143:'Bruto bilans'!$G$401))</f>
        <v>1185.57</v>
      </c>
    </row>
    <row r="76" spans="1:9" x14ac:dyDescent="0.25">
      <c r="A76" s="76" t="s">
        <v>244</v>
      </c>
      <c r="B76" s="89" t="s">
        <v>169</v>
      </c>
      <c r="C76" s="88"/>
      <c r="D76" s="265">
        <f t="shared" ref="D76" si="6">I76</f>
        <v>368.34</v>
      </c>
      <c r="E76" s="266"/>
      <c r="F76" s="265">
        <v>1074.98</v>
      </c>
      <c r="G76" s="266"/>
      <c r="I76" s="40">
        <f>SUMIF(('Bruto bilans'!$H$143:'Bruto bilans'!$H$401),"6.4..",('Bruto bilans'!$G$143:'Bruto bilans'!$G$401))</f>
        <v>368.34</v>
      </c>
    </row>
    <row r="77" spans="1:9" x14ac:dyDescent="0.25">
      <c r="A77" s="76" t="s">
        <v>245</v>
      </c>
      <c r="B77" s="89" t="s">
        <v>170</v>
      </c>
      <c r="C77" s="88"/>
      <c r="D77" s="265">
        <f t="shared" si="1"/>
        <v>218.18</v>
      </c>
      <c r="E77" s="266"/>
      <c r="F77" s="265">
        <v>25953.82</v>
      </c>
      <c r="G77" s="266"/>
      <c r="H77" s="38"/>
      <c r="I77" s="40">
        <f>SUMIF(('Bruto bilans'!$H$143:'Bruto bilans'!$H$401),"6.5..",('Bruto bilans'!$G$143:'Bruto bilans'!$G$401))</f>
        <v>218.18</v>
      </c>
    </row>
    <row r="78" spans="1:9" x14ac:dyDescent="0.25">
      <c r="A78" s="76" t="s">
        <v>246</v>
      </c>
      <c r="B78" s="89" t="s">
        <v>171</v>
      </c>
      <c r="C78" s="88"/>
      <c r="D78" s="265">
        <f t="shared" si="1"/>
        <v>4099.2800000000007</v>
      </c>
      <c r="E78" s="266"/>
      <c r="F78" s="265">
        <v>94247.87000000001</v>
      </c>
      <c r="G78" s="266"/>
      <c r="H78" s="38"/>
      <c r="I78" s="40">
        <f>SUMIF(('Bruto bilans'!$H$143:'Bruto bilans'!$H$401),"6.6..",('Bruto bilans'!$G$143:'Bruto bilans'!$G$401))</f>
        <v>4099.2800000000007</v>
      </c>
    </row>
    <row r="79" spans="1:9" x14ac:dyDescent="0.25">
      <c r="A79" s="76" t="s">
        <v>247</v>
      </c>
      <c r="B79" s="81" t="s">
        <v>172</v>
      </c>
      <c r="C79" s="82"/>
      <c r="D79" s="267">
        <f t="shared" si="1"/>
        <v>6522.9000000000005</v>
      </c>
      <c r="E79" s="268"/>
      <c r="F79" s="267">
        <v>33085.179999999993</v>
      </c>
      <c r="G79" s="268"/>
      <c r="H79" s="38"/>
      <c r="I79" s="40">
        <f>SUMIF(('Bruto bilans'!$H$143:'Bruto bilans'!$H$401),"7..",('Bruto bilans'!$G$143:'Bruto bilans'!$G$401))</f>
        <v>6522.9000000000005</v>
      </c>
    </row>
    <row r="80" spans="1:9" x14ac:dyDescent="0.25">
      <c r="A80" s="76" t="s">
        <v>248</v>
      </c>
      <c r="B80" s="81" t="s">
        <v>173</v>
      </c>
      <c r="C80" s="82"/>
      <c r="D80" s="267">
        <f>-I80</f>
        <v>0</v>
      </c>
      <c r="E80" s="268"/>
      <c r="F80" s="267">
        <v>0</v>
      </c>
      <c r="G80" s="268"/>
      <c r="I80" s="40">
        <f>SUMIF(('Bruto bilans'!$H$143:'Bruto bilans'!$H$401),"8..",('Bruto bilans'!$G$143:'Bruto bilans'!$G$401))</f>
        <v>0</v>
      </c>
    </row>
    <row r="81" spans="1:9" x14ac:dyDescent="0.25">
      <c r="A81" s="76"/>
      <c r="B81" s="81" t="s">
        <v>524</v>
      </c>
      <c r="C81" s="82"/>
      <c r="D81" s="267">
        <f>D58-D59</f>
        <v>-103461.63</v>
      </c>
      <c r="E81" s="268"/>
      <c r="F81" s="267">
        <v>-342755.29000000004</v>
      </c>
      <c r="G81" s="268"/>
    </row>
    <row r="82" spans="1:9" x14ac:dyDescent="0.25">
      <c r="A82" s="76"/>
      <c r="B82" s="81" t="s">
        <v>525</v>
      </c>
      <c r="C82" s="82"/>
      <c r="D82" s="267">
        <f>+D97+D114</f>
        <v>67658.55</v>
      </c>
      <c r="E82" s="268"/>
      <c r="F82" s="267">
        <v>247964.38</v>
      </c>
      <c r="G82" s="268"/>
      <c r="H82" s="38"/>
    </row>
    <row r="83" spans="1:9" ht="30" x14ac:dyDescent="0.25">
      <c r="A83" s="76"/>
      <c r="B83" s="81" t="s">
        <v>174</v>
      </c>
      <c r="C83" s="82"/>
      <c r="D83" s="267">
        <f>SUM(D84:E89)</f>
        <v>56262.57</v>
      </c>
      <c r="E83" s="268"/>
      <c r="F83" s="267">
        <v>181592.52</v>
      </c>
      <c r="G83" s="268"/>
      <c r="I83" s="40">
        <f>SUMIF(('Bruto bilans'!$H$143:'Bruto bilans'!$H$401),"1.",('Bruto bilans'!$G$143:'Bruto bilans'!$G$401))</f>
        <v>0</v>
      </c>
    </row>
    <row r="84" spans="1:9" x14ac:dyDescent="0.25">
      <c r="A84" s="76" t="s">
        <v>249</v>
      </c>
      <c r="B84" s="90" t="s">
        <v>419</v>
      </c>
      <c r="C84" s="91"/>
      <c r="D84" s="265">
        <f>-I84</f>
        <v>56262.57</v>
      </c>
      <c r="E84" s="266"/>
      <c r="F84" s="265">
        <v>181592.52</v>
      </c>
      <c r="G84" s="266"/>
      <c r="I84" s="40">
        <f>SUMIF(('Bruto bilans'!$H$143:'Bruto bilans'!$H$401),"3.1.",('Bruto bilans'!$G$143:'Bruto bilans'!$G$401))</f>
        <v>-56262.57</v>
      </c>
    </row>
    <row r="85" spans="1:9" ht="30" x14ac:dyDescent="0.25">
      <c r="A85" s="76" t="s">
        <v>250</v>
      </c>
      <c r="B85" s="90" t="s">
        <v>420</v>
      </c>
      <c r="C85" s="91"/>
      <c r="D85" s="265">
        <f t="shared" ref="D85:D89" si="7">-I85</f>
        <v>0</v>
      </c>
      <c r="E85" s="266"/>
      <c r="F85" s="265">
        <v>0</v>
      </c>
      <c r="G85" s="266"/>
      <c r="I85" s="40">
        <f>SUMIF(('Bruto bilans'!$H$143:'Bruto bilans'!$H$401),"3.2.",('Bruto bilans'!$G$143:'Bruto bilans'!$G$401))</f>
        <v>0</v>
      </c>
    </row>
    <row r="86" spans="1:9" x14ac:dyDescent="0.25">
      <c r="A86" s="76" t="s">
        <v>251</v>
      </c>
      <c r="B86" s="87" t="s">
        <v>526</v>
      </c>
      <c r="C86" s="91"/>
      <c r="D86" s="265">
        <f t="shared" si="7"/>
        <v>0</v>
      </c>
      <c r="E86" s="266"/>
      <c r="F86" s="265">
        <v>0</v>
      </c>
      <c r="G86" s="266"/>
      <c r="I86" s="40">
        <f>SUMIF(('Bruto bilans'!$H$143:'Bruto bilans'!$H$401),"3.3.",('Bruto bilans'!$G$143:'Bruto bilans'!$G$401))</f>
        <v>0</v>
      </c>
    </row>
    <row r="87" spans="1:9" x14ac:dyDescent="0.25">
      <c r="A87" s="76" t="s">
        <v>252</v>
      </c>
      <c r="B87" s="90" t="s">
        <v>421</v>
      </c>
      <c r="C87" s="91"/>
      <c r="D87" s="265">
        <f t="shared" si="7"/>
        <v>0</v>
      </c>
      <c r="E87" s="266"/>
      <c r="F87" s="265">
        <v>0</v>
      </c>
      <c r="G87" s="266"/>
      <c r="I87" s="40">
        <f>SUMIF(('Bruto bilans'!$H$143:'Bruto bilans'!$H$401),"3.4.",('Bruto bilans'!$G$143:'Bruto bilans'!$G$401))</f>
        <v>0</v>
      </c>
    </row>
    <row r="88" spans="1:9" x14ac:dyDescent="0.25">
      <c r="A88" s="76" t="s">
        <v>253</v>
      </c>
      <c r="B88" s="90" t="s">
        <v>422</v>
      </c>
      <c r="C88" s="91"/>
      <c r="D88" s="265">
        <f t="shared" si="7"/>
        <v>0</v>
      </c>
      <c r="E88" s="266"/>
      <c r="F88" s="265">
        <v>0</v>
      </c>
      <c r="G88" s="266"/>
      <c r="I88" s="40">
        <f>SUMIF(('Bruto bilans'!$H$143:'Bruto bilans'!$H$401),"3.5.",('Bruto bilans'!$G$143:'Bruto bilans'!$G$401))</f>
        <v>0</v>
      </c>
    </row>
    <row r="89" spans="1:9" ht="35.25" customHeight="1" x14ac:dyDescent="0.25">
      <c r="A89" s="79" t="s">
        <v>270</v>
      </c>
      <c r="B89" s="90" t="s">
        <v>423</v>
      </c>
      <c r="C89" s="91"/>
      <c r="D89" s="265">
        <f t="shared" si="7"/>
        <v>0</v>
      </c>
      <c r="E89" s="266"/>
      <c r="F89" s="265">
        <v>0</v>
      </c>
      <c r="G89" s="266"/>
      <c r="I89" s="40">
        <f>SUMIF(('Bruto bilans'!$H$143:'Bruto bilans'!$H$401),"3.6.",('Bruto bilans'!$G$143:'Bruto bilans'!$G$401))</f>
        <v>0</v>
      </c>
    </row>
    <row r="90" spans="1:9" ht="30" x14ac:dyDescent="0.25">
      <c r="A90" s="76"/>
      <c r="B90" s="81" t="s">
        <v>527</v>
      </c>
      <c r="C90" s="82"/>
      <c r="D90" s="267">
        <f>SUM(D91:E96)</f>
        <v>0</v>
      </c>
      <c r="E90" s="268"/>
      <c r="F90" s="267">
        <v>0</v>
      </c>
      <c r="G90" s="268"/>
    </row>
    <row r="91" spans="1:9" x14ac:dyDescent="0.25">
      <c r="A91" s="76" t="s">
        <v>254</v>
      </c>
      <c r="B91" s="89" t="s">
        <v>175</v>
      </c>
      <c r="C91" s="88"/>
      <c r="D91" s="265">
        <f t="shared" ref="D91:D121" si="8">I91</f>
        <v>0</v>
      </c>
      <c r="E91" s="266"/>
      <c r="F91" s="265">
        <v>0</v>
      </c>
      <c r="G91" s="266"/>
    </row>
    <row r="92" spans="1:9" x14ac:dyDescent="0.25">
      <c r="A92" s="76" t="s">
        <v>255</v>
      </c>
      <c r="B92" s="89" t="s">
        <v>176</v>
      </c>
      <c r="C92" s="88"/>
      <c r="D92" s="265">
        <f t="shared" si="8"/>
        <v>0</v>
      </c>
      <c r="E92" s="266"/>
      <c r="F92" s="265">
        <v>0</v>
      </c>
      <c r="G92" s="266"/>
      <c r="I92" s="40">
        <f>SUMIF(('Bruto bilans'!$H$143:'Bruto bilans'!$H$401),"2.2...",('Bruto bilans'!$G$143:'Bruto bilans'!$G$401))</f>
        <v>0</v>
      </c>
    </row>
    <row r="93" spans="1:9" x14ac:dyDescent="0.25">
      <c r="A93" s="76" t="s">
        <v>256</v>
      </c>
      <c r="B93" s="89" t="s">
        <v>177</v>
      </c>
      <c r="C93" s="88"/>
      <c r="D93" s="265">
        <f t="shared" si="8"/>
        <v>0</v>
      </c>
      <c r="E93" s="266"/>
      <c r="F93" s="265">
        <v>0</v>
      </c>
      <c r="G93" s="266"/>
      <c r="I93" s="40">
        <f>SUMIF(('Bruto bilans'!$H$143:'Bruto bilans'!$H$401),"2.3..",('Bruto bilans'!$G$143:'Bruto bilans'!$G$401))</f>
        <v>0</v>
      </c>
    </row>
    <row r="94" spans="1:9" x14ac:dyDescent="0.25">
      <c r="A94" s="76" t="s">
        <v>257</v>
      </c>
      <c r="B94" s="89" t="s">
        <v>178</v>
      </c>
      <c r="C94" s="88"/>
      <c r="D94" s="265">
        <f t="shared" si="8"/>
        <v>0</v>
      </c>
      <c r="E94" s="266"/>
      <c r="F94" s="265">
        <v>0</v>
      </c>
      <c r="G94" s="266"/>
    </row>
    <row r="95" spans="1:9" ht="24.75" customHeight="1" x14ac:dyDescent="0.25">
      <c r="A95" s="80" t="s">
        <v>258</v>
      </c>
      <c r="B95" s="89" t="s">
        <v>179</v>
      </c>
      <c r="C95" s="88"/>
      <c r="D95" s="265">
        <f t="shared" si="8"/>
        <v>0</v>
      </c>
      <c r="E95" s="266"/>
      <c r="F95" s="265">
        <v>0</v>
      </c>
      <c r="G95" s="266"/>
      <c r="I95" s="40">
        <f>SUMIF(('Bruto bilans'!$H$143:'Bruto bilans'!$H$401),"2.5..",('Bruto bilans'!$G$143:'Bruto bilans'!$G$401))</f>
        <v>0</v>
      </c>
    </row>
    <row r="96" spans="1:9" ht="45" x14ac:dyDescent="0.25">
      <c r="A96" s="77" t="s">
        <v>271</v>
      </c>
      <c r="B96" s="89" t="s">
        <v>180</v>
      </c>
      <c r="C96" s="88"/>
      <c r="D96" s="265">
        <f t="shared" si="8"/>
        <v>0</v>
      </c>
      <c r="E96" s="266"/>
      <c r="F96" s="265">
        <v>0</v>
      </c>
      <c r="G96" s="266"/>
      <c r="I96" s="40">
        <f>SUMIF(('Bruto bilans'!$H$143:'Bruto bilans'!$H$401),"2.6..",('Bruto bilans'!$G$143:'Bruto bilans'!$G$401))</f>
        <v>0</v>
      </c>
    </row>
    <row r="97" spans="1:9" ht="30" x14ac:dyDescent="0.25">
      <c r="A97" s="76"/>
      <c r="B97" s="81" t="s">
        <v>528</v>
      </c>
      <c r="C97" s="82"/>
      <c r="D97" s="267">
        <f>D83-D90</f>
        <v>56262.57</v>
      </c>
      <c r="E97" s="268"/>
      <c r="F97" s="267">
        <v>181592.52</v>
      </c>
      <c r="G97" s="268"/>
    </row>
    <row r="98" spans="1:9" ht="30" x14ac:dyDescent="0.25">
      <c r="A98" s="76"/>
      <c r="B98" s="81" t="s">
        <v>529</v>
      </c>
      <c r="C98" s="82"/>
      <c r="D98" s="267">
        <f>SUM(D99:E105)</f>
        <v>11395.98</v>
      </c>
      <c r="E98" s="268"/>
      <c r="F98" s="267">
        <v>66371.86</v>
      </c>
      <c r="G98" s="268"/>
    </row>
    <row r="99" spans="1:9" ht="20.25" customHeight="1" x14ac:dyDescent="0.25">
      <c r="A99" s="76" t="s">
        <v>249</v>
      </c>
      <c r="B99" s="89" t="s">
        <v>181</v>
      </c>
      <c r="C99" s="88"/>
      <c r="D99" s="265">
        <f>-I99</f>
        <v>11395.98</v>
      </c>
      <c r="E99" s="266"/>
      <c r="F99" s="265">
        <v>66371.86</v>
      </c>
      <c r="G99" s="266"/>
      <c r="H99" s="38"/>
      <c r="I99" s="40">
        <f>SUMIF(('Bruto bilans'!$H$143:'Bruto bilans'!$H$401),"4.1.",('Bruto bilans'!$G$143:'Bruto bilans'!$G$401))</f>
        <v>-11395.98</v>
      </c>
    </row>
    <row r="100" spans="1:9" ht="20.25" customHeight="1" x14ac:dyDescent="0.25">
      <c r="A100" s="76" t="s">
        <v>251</v>
      </c>
      <c r="B100" s="89" t="s">
        <v>182</v>
      </c>
      <c r="C100" s="88"/>
      <c r="D100" s="265">
        <f t="shared" ref="D100:D105" si="9">-I100</f>
        <v>0</v>
      </c>
      <c r="E100" s="266"/>
      <c r="F100" s="265">
        <v>0</v>
      </c>
      <c r="G100" s="266"/>
      <c r="I100" s="40">
        <f>SUMIF(('Bruto bilans'!$H$143:'Bruto bilans'!$H$401),"4.2.",('Bruto bilans'!$G$143:'Bruto bilans'!$G$401))</f>
        <v>0</v>
      </c>
    </row>
    <row r="101" spans="1:9" ht="20.25" customHeight="1" x14ac:dyDescent="0.25">
      <c r="A101" s="76" t="s">
        <v>259</v>
      </c>
      <c r="B101" s="89" t="s">
        <v>183</v>
      </c>
      <c r="C101" s="88"/>
      <c r="D101" s="265">
        <f t="shared" si="9"/>
        <v>0</v>
      </c>
      <c r="E101" s="266"/>
      <c r="F101" s="265">
        <v>0</v>
      </c>
      <c r="G101" s="266"/>
      <c r="I101" s="40">
        <f>SUMIF(('Bruto bilans'!$H$143:'Bruto bilans'!$H$401),"4.3.",('Bruto bilans'!$G$143:'Bruto bilans'!$G$401))</f>
        <v>0</v>
      </c>
    </row>
    <row r="102" spans="1:9" ht="20.25" customHeight="1" x14ac:dyDescent="0.25">
      <c r="A102" s="76" t="s">
        <v>252</v>
      </c>
      <c r="B102" s="89" t="s">
        <v>184</v>
      </c>
      <c r="C102" s="88"/>
      <c r="D102" s="265">
        <f t="shared" si="9"/>
        <v>0</v>
      </c>
      <c r="E102" s="266"/>
      <c r="F102" s="265">
        <v>0</v>
      </c>
      <c r="G102" s="266"/>
      <c r="I102" s="40">
        <f>SUMIF(('Bruto bilans'!$H$143:'Bruto bilans'!$H$401),"4.4.",('Bruto bilans'!$G$143:'Bruto bilans'!$G$401))</f>
        <v>0</v>
      </c>
    </row>
    <row r="103" spans="1:9" ht="20.25" customHeight="1" x14ac:dyDescent="0.25">
      <c r="A103" s="76" t="s">
        <v>260</v>
      </c>
      <c r="B103" s="89" t="s">
        <v>185</v>
      </c>
      <c r="C103" s="88"/>
      <c r="D103" s="265">
        <f t="shared" si="9"/>
        <v>0</v>
      </c>
      <c r="E103" s="266"/>
      <c r="F103" s="265">
        <v>0</v>
      </c>
      <c r="G103" s="266"/>
      <c r="I103" s="40">
        <f>SUMIF(('Bruto bilans'!$H$143:'Bruto bilans'!$H$401),"4.5.",('Bruto bilans'!$G$143:'Bruto bilans'!$G$401))</f>
        <v>0</v>
      </c>
    </row>
    <row r="104" spans="1:9" ht="20.25" customHeight="1" x14ac:dyDescent="0.25">
      <c r="A104" s="76" t="s">
        <v>261</v>
      </c>
      <c r="B104" s="87" t="s">
        <v>530</v>
      </c>
      <c r="C104" s="88"/>
      <c r="D104" s="265">
        <f t="shared" si="9"/>
        <v>0</v>
      </c>
      <c r="E104" s="266"/>
      <c r="F104" s="265">
        <v>0</v>
      </c>
      <c r="G104" s="266"/>
      <c r="I104" s="40">
        <f>SUMIF(('Bruto bilans'!$H$143:'Bruto bilans'!$H$401),"4.6.",('Bruto bilans'!$G$143:'Bruto bilans'!$G$401))</f>
        <v>0</v>
      </c>
    </row>
    <row r="105" spans="1:9" ht="26.25" customHeight="1" x14ac:dyDescent="0.25">
      <c r="A105" s="79" t="s">
        <v>262</v>
      </c>
      <c r="B105" s="81" t="s">
        <v>186</v>
      </c>
      <c r="C105" s="82"/>
      <c r="D105" s="265">
        <f t="shared" si="9"/>
        <v>0</v>
      </c>
      <c r="E105" s="266"/>
      <c r="F105" s="265">
        <v>0</v>
      </c>
      <c r="G105" s="266"/>
      <c r="I105" s="40">
        <f>SUMIF(('Bruto bilans'!$H$143:'Bruto bilans'!$H$401),"4.7.",('Bruto bilans'!$G$143:'Bruto bilans'!$G$401))</f>
        <v>0</v>
      </c>
    </row>
    <row r="106" spans="1:9" ht="30" x14ac:dyDescent="0.25">
      <c r="A106" s="76"/>
      <c r="B106" s="81" t="s">
        <v>531</v>
      </c>
      <c r="C106" s="82"/>
      <c r="D106" s="267">
        <f>SUM( D107:E113)</f>
        <v>0</v>
      </c>
      <c r="E106" s="268"/>
      <c r="F106" s="267">
        <v>0</v>
      </c>
      <c r="G106" s="268"/>
    </row>
    <row r="107" spans="1:9" x14ac:dyDescent="0.25">
      <c r="A107" s="76" t="s">
        <v>254</v>
      </c>
      <c r="B107" s="89" t="s">
        <v>187</v>
      </c>
      <c r="C107" s="88"/>
      <c r="D107" s="265">
        <f t="shared" si="8"/>
        <v>0</v>
      </c>
      <c r="E107" s="266"/>
      <c r="F107" s="265">
        <v>0</v>
      </c>
      <c r="G107" s="266"/>
      <c r="I107" s="40">
        <f>SUMIF(('Bruto bilans'!$H$143:'Bruto bilans'!$H$401),"5.1...",('Bruto bilans'!$G$143:'Bruto bilans'!$G$401))</f>
        <v>0</v>
      </c>
    </row>
    <row r="108" spans="1:9" x14ac:dyDescent="0.25">
      <c r="A108" s="76" t="s">
        <v>255</v>
      </c>
      <c r="B108" s="89" t="s">
        <v>188</v>
      </c>
      <c r="C108" s="88"/>
      <c r="D108" s="265">
        <f t="shared" si="8"/>
        <v>0</v>
      </c>
      <c r="E108" s="266"/>
      <c r="F108" s="265">
        <v>0</v>
      </c>
      <c r="G108" s="266"/>
      <c r="I108" s="40">
        <f>SUMIF(('Bruto bilans'!$H$143:'Bruto bilans'!$H$401),"5.2...",('Bruto bilans'!$G$143:'Bruto bilans'!$G$401))</f>
        <v>0</v>
      </c>
    </row>
    <row r="109" spans="1:9" x14ac:dyDescent="0.25">
      <c r="A109" s="76" t="s">
        <v>256</v>
      </c>
      <c r="B109" s="89" t="s">
        <v>189</v>
      </c>
      <c r="C109" s="88"/>
      <c r="D109" s="265">
        <f t="shared" si="8"/>
        <v>0</v>
      </c>
      <c r="E109" s="266"/>
      <c r="F109" s="265">
        <v>0</v>
      </c>
      <c r="G109" s="266"/>
      <c r="I109" s="40">
        <f>SUMIF(('Bruto bilans'!$H$143:'Bruto bilans'!$H$401),"5.3...",('Bruto bilans'!$G$143:'Bruto bilans'!$G$401))</f>
        <v>0</v>
      </c>
    </row>
    <row r="110" spans="1:9" ht="30" x14ac:dyDescent="0.25">
      <c r="A110" s="77" t="s">
        <v>263</v>
      </c>
      <c r="B110" s="89" t="s">
        <v>190</v>
      </c>
      <c r="C110" s="88"/>
      <c r="D110" s="265">
        <f t="shared" si="8"/>
        <v>0</v>
      </c>
      <c r="E110" s="266"/>
      <c r="F110" s="265">
        <v>0</v>
      </c>
      <c r="G110" s="266"/>
      <c r="I110" s="40">
        <f>SUMIF(('Bruto bilans'!$H$143:'Bruto bilans'!$H$401),"5.4...",('Bruto bilans'!$G$143:'Bruto bilans'!$G$401))</f>
        <v>0</v>
      </c>
    </row>
    <row r="111" spans="1:9" ht="30" x14ac:dyDescent="0.25">
      <c r="A111" s="77" t="s">
        <v>264</v>
      </c>
      <c r="B111" s="89" t="s">
        <v>191</v>
      </c>
      <c r="C111" s="88"/>
      <c r="D111" s="265">
        <f t="shared" si="8"/>
        <v>0</v>
      </c>
      <c r="E111" s="266"/>
      <c r="F111" s="265">
        <v>0</v>
      </c>
      <c r="G111" s="266"/>
      <c r="I111" s="40">
        <f>SUMIF(('Bruto bilans'!$H$143:'Bruto bilans'!$H$401),"5.5..",('Bruto bilans'!$G$143:'Bruto bilans'!$G$401))</f>
        <v>0</v>
      </c>
    </row>
    <row r="112" spans="1:9" x14ac:dyDescent="0.25">
      <c r="A112" s="77" t="s">
        <v>265</v>
      </c>
      <c r="B112" s="89" t="s">
        <v>192</v>
      </c>
      <c r="C112" s="88"/>
      <c r="D112" s="265">
        <f t="shared" si="8"/>
        <v>0</v>
      </c>
      <c r="E112" s="266"/>
      <c r="F112" s="265">
        <v>0</v>
      </c>
      <c r="G112" s="266"/>
      <c r="I112" s="40">
        <f>SUMIF(('Bruto bilans'!$H$143:'Bruto bilans'!$H$401),"5.6..",('Bruto bilans'!$G$143:'Bruto bilans'!$G$401))</f>
        <v>0</v>
      </c>
    </row>
    <row r="113" spans="1:12" x14ac:dyDescent="0.25">
      <c r="A113" s="77" t="s">
        <v>266</v>
      </c>
      <c r="B113" s="89" t="s">
        <v>193</v>
      </c>
      <c r="C113" s="88"/>
      <c r="D113" s="265">
        <f t="shared" ref="D113" si="10">I113</f>
        <v>0</v>
      </c>
      <c r="E113" s="266"/>
      <c r="F113" s="265">
        <v>0</v>
      </c>
      <c r="G113" s="266"/>
      <c r="I113" s="40">
        <f>SUMIF(('Bruto bilans'!$H$143:'Bruto bilans'!$H$401),"5.7..",('Bruto bilans'!$G$143:'Bruto bilans'!$G$401))</f>
        <v>0</v>
      </c>
    </row>
    <row r="114" spans="1:12" ht="30" x14ac:dyDescent="0.25">
      <c r="A114" s="76"/>
      <c r="B114" s="81" t="s">
        <v>532</v>
      </c>
      <c r="C114" s="82"/>
      <c r="D114" s="267">
        <f>D98-D106</f>
        <v>11395.98</v>
      </c>
      <c r="E114" s="268"/>
      <c r="F114" s="267">
        <v>66371.86</v>
      </c>
      <c r="G114" s="268"/>
    </row>
    <row r="115" spans="1:12" ht="30" x14ac:dyDescent="0.25">
      <c r="A115" s="76"/>
      <c r="B115" s="81" t="s">
        <v>194</v>
      </c>
      <c r="C115" s="82"/>
      <c r="D115" s="267">
        <f>D81+D82</f>
        <v>-35803.08</v>
      </c>
      <c r="E115" s="268"/>
      <c r="F115" s="267">
        <v>-94790.910000000033</v>
      </c>
      <c r="G115" s="268"/>
    </row>
    <row r="116" spans="1:12" x14ac:dyDescent="0.25">
      <c r="A116" s="76"/>
      <c r="B116" s="81" t="s">
        <v>195</v>
      </c>
      <c r="C116" s="82"/>
      <c r="D116" s="265">
        <f>+D117+D118</f>
        <v>0</v>
      </c>
      <c r="E116" s="266"/>
      <c r="F116" s="265">
        <v>-64.06</v>
      </c>
      <c r="G116" s="266"/>
    </row>
    <row r="117" spans="1:12" x14ac:dyDescent="0.25">
      <c r="A117" s="76" t="s">
        <v>267</v>
      </c>
      <c r="B117" s="89" t="s">
        <v>196</v>
      </c>
      <c r="C117" s="88"/>
      <c r="D117" s="265">
        <f>I117</f>
        <v>0</v>
      </c>
      <c r="E117" s="266"/>
      <c r="F117" s="265">
        <v>0</v>
      </c>
      <c r="G117" s="266"/>
      <c r="H117" s="38"/>
      <c r="I117" s="40">
        <f>SUMIF(('Bruto bilans'!$H$143:'Bruto bilans'!$H$401),"5.7",('Bruto bilans'!$G$143:'Bruto bilans'!$G$401))</f>
        <v>0</v>
      </c>
    </row>
    <row r="118" spans="1:12" x14ac:dyDescent="0.25">
      <c r="A118" s="76" t="s">
        <v>268</v>
      </c>
      <c r="B118" s="89" t="s">
        <v>197</v>
      </c>
      <c r="C118" s="88"/>
      <c r="D118" s="265">
        <f>I118</f>
        <v>0</v>
      </c>
      <c r="E118" s="266"/>
      <c r="F118" s="265">
        <v>-64.06</v>
      </c>
      <c r="G118" s="266"/>
      <c r="H118" s="38"/>
      <c r="I118" s="40">
        <f>SUMIF(('Bruto bilans'!$H$143:'Bruto bilans'!$H$401),"2.3.",('Bruto bilans'!$G$143:'Bruto bilans'!$G$401))</f>
        <v>0</v>
      </c>
    </row>
    <row r="119" spans="1:12" x14ac:dyDescent="0.25">
      <c r="A119" s="76"/>
      <c r="B119" s="81" t="s">
        <v>533</v>
      </c>
      <c r="C119" s="82"/>
      <c r="D119" s="265">
        <f>D115-D117-D118</f>
        <v>-35803.08</v>
      </c>
      <c r="E119" s="266"/>
      <c r="F119" s="265">
        <v>-94726.850000000035</v>
      </c>
      <c r="G119" s="266"/>
      <c r="H119" s="38"/>
    </row>
    <row r="120" spans="1:12" x14ac:dyDescent="0.25">
      <c r="A120" s="76"/>
      <c r="B120" s="81" t="s">
        <v>534</v>
      </c>
      <c r="C120" s="82"/>
      <c r="D120" s="265">
        <f t="shared" si="8"/>
        <v>0</v>
      </c>
      <c r="E120" s="266"/>
      <c r="F120" s="265">
        <v>0</v>
      </c>
      <c r="G120" s="266"/>
      <c r="H120" s="38"/>
      <c r="I120" s="38"/>
    </row>
    <row r="121" spans="1:12" x14ac:dyDescent="0.25">
      <c r="A121" s="76" t="s">
        <v>269</v>
      </c>
      <c r="B121" s="83" t="s">
        <v>198</v>
      </c>
      <c r="C121" s="84"/>
      <c r="D121" s="265">
        <f t="shared" si="8"/>
        <v>0</v>
      </c>
      <c r="E121" s="266"/>
      <c r="F121" s="265">
        <v>0</v>
      </c>
      <c r="G121" s="266"/>
      <c r="I121" s="38">
        <f>+I120/2</f>
        <v>0</v>
      </c>
    </row>
    <row r="122" spans="1:12" x14ac:dyDescent="0.25">
      <c r="A122" s="76"/>
      <c r="B122" s="81" t="s">
        <v>535</v>
      </c>
      <c r="C122" s="82"/>
      <c r="D122" s="265"/>
      <c r="E122" s="266"/>
      <c r="F122" s="265"/>
      <c r="G122" s="266"/>
      <c r="H122" s="103"/>
      <c r="I122" s="38"/>
    </row>
    <row r="123" spans="1:12" x14ac:dyDescent="0.25">
      <c r="H123" s="38"/>
    </row>
    <row r="124" spans="1:12" customFormat="1" x14ac:dyDescent="0.25">
      <c r="A124" s="7"/>
      <c r="D124" s="73"/>
      <c r="E124" s="73"/>
      <c r="F124" s="40"/>
      <c r="G124" s="40"/>
      <c r="H124" s="8"/>
    </row>
    <row r="125" spans="1:12" customFormat="1" x14ac:dyDescent="0.25">
      <c r="A125" s="7" t="s">
        <v>486</v>
      </c>
      <c r="B125" s="68" t="s">
        <v>488</v>
      </c>
      <c r="C125" s="248" t="s">
        <v>489</v>
      </c>
      <c r="D125" s="254" t="s">
        <v>490</v>
      </c>
      <c r="E125" s="255"/>
      <c r="F125" s="255"/>
      <c r="G125" s="255"/>
      <c r="H125" s="8"/>
    </row>
    <row r="126" spans="1:12" customFormat="1" x14ac:dyDescent="0.25">
      <c r="A126" s="7" t="s">
        <v>487</v>
      </c>
      <c r="B126" s="67">
        <f>+'BILANS STANJA'!B118</f>
        <v>42845</v>
      </c>
      <c r="C126" s="248"/>
      <c r="D126" s="118"/>
      <c r="E126" s="118"/>
      <c r="F126" s="99"/>
      <c r="G126" s="99"/>
    </row>
    <row r="127" spans="1:12" customFormat="1" x14ac:dyDescent="0.25">
      <c r="A127" s="7"/>
      <c r="D127" s="73"/>
      <c r="E127" s="73"/>
      <c r="F127" s="40"/>
      <c r="G127" s="40"/>
      <c r="H127" s="8"/>
      <c r="I127" s="8"/>
    </row>
    <row r="128" spans="1:12" customFormat="1" x14ac:dyDescent="0.25">
      <c r="A128" s="7"/>
      <c r="D128" s="73"/>
      <c r="E128" s="73"/>
      <c r="F128" s="40"/>
      <c r="G128" s="40"/>
      <c r="L128" s="8"/>
    </row>
    <row r="129" spans="1:9" customFormat="1" x14ac:dyDescent="0.25">
      <c r="A129" s="7"/>
      <c r="D129" s="256" t="s">
        <v>491</v>
      </c>
      <c r="E129" s="257"/>
      <c r="F129" s="257"/>
      <c r="G129" s="258"/>
      <c r="I129" s="8"/>
    </row>
    <row r="130" spans="1:9" customFormat="1" x14ac:dyDescent="0.25">
      <c r="A130" s="7"/>
      <c r="D130" s="259"/>
      <c r="E130" s="260"/>
      <c r="F130" s="260"/>
      <c r="G130" s="261"/>
    </row>
    <row r="131" spans="1:9" customFormat="1" x14ac:dyDescent="0.25">
      <c r="A131" s="7"/>
      <c r="D131" s="262"/>
      <c r="E131" s="263"/>
      <c r="F131" s="263"/>
      <c r="G131" s="264"/>
    </row>
    <row r="132" spans="1:9" customFormat="1" x14ac:dyDescent="0.25">
      <c r="A132" s="7"/>
      <c r="D132" s="73"/>
      <c r="E132" s="73"/>
      <c r="F132" s="40"/>
      <c r="G132" s="40"/>
    </row>
  </sheetData>
  <mergeCells count="232">
    <mergeCell ref="D109:E109"/>
    <mergeCell ref="F109:G109"/>
    <mergeCell ref="A8:G8"/>
    <mergeCell ref="A9:G9"/>
    <mergeCell ref="C125:C126"/>
    <mergeCell ref="D125:G125"/>
    <mergeCell ref="D129:G131"/>
    <mergeCell ref="D13:E13"/>
    <mergeCell ref="F13:G13"/>
    <mergeCell ref="A12:A13"/>
    <mergeCell ref="B12:B13"/>
    <mergeCell ref="C12:C13"/>
    <mergeCell ref="D12:G12"/>
    <mergeCell ref="D14:E14"/>
    <mergeCell ref="F14:G14"/>
    <mergeCell ref="D46:E46"/>
    <mergeCell ref="F46:G46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3:E103"/>
    <mergeCell ref="F103:G103"/>
    <mergeCell ref="A5:B5"/>
    <mergeCell ref="A6:B6"/>
    <mergeCell ref="A7:B7"/>
    <mergeCell ref="D121:E121"/>
    <mergeCell ref="F121:G121"/>
    <mergeCell ref="D113:E113"/>
    <mergeCell ref="F113:G113"/>
    <mergeCell ref="D114:E114"/>
    <mergeCell ref="F114:G114"/>
    <mergeCell ref="D115:E115"/>
    <mergeCell ref="D108:E108"/>
    <mergeCell ref="F108:G108"/>
    <mergeCell ref="D98:E98"/>
    <mergeCell ref="F98:G98"/>
    <mergeCell ref="D99:E99"/>
    <mergeCell ref="F99:G99"/>
    <mergeCell ref="D100:E100"/>
    <mergeCell ref="F100:G100"/>
    <mergeCell ref="D95:E95"/>
    <mergeCell ref="F95:G95"/>
    <mergeCell ref="D122:E122"/>
    <mergeCell ref="F122:G122"/>
    <mergeCell ref="D119:E119"/>
    <mergeCell ref="F119:G119"/>
    <mergeCell ref="D120:E120"/>
    <mergeCell ref="F120:G120"/>
    <mergeCell ref="D116:E116"/>
    <mergeCell ref="F116:G116"/>
    <mergeCell ref="D117:E117"/>
    <mergeCell ref="F117:G117"/>
    <mergeCell ref="D118:E118"/>
    <mergeCell ref="F118:G118"/>
    <mergeCell ref="D96:E96"/>
    <mergeCell ref="F96:G96"/>
    <mergeCell ref="D97:E97"/>
    <mergeCell ref="F97:G97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D32:E32"/>
    <mergeCell ref="F32:G32"/>
    <mergeCell ref="D33:E33"/>
    <mergeCell ref="F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D45:E45"/>
    <mergeCell ref="F45:G45"/>
    <mergeCell ref="D47:E47"/>
    <mergeCell ref="F47:G47"/>
    <mergeCell ref="D48:E48"/>
    <mergeCell ref="F48:G48"/>
    <mergeCell ref="D49:E49"/>
    <mergeCell ref="F49:G49"/>
    <mergeCell ref="D50:E50"/>
    <mergeCell ref="F50:G50"/>
    <mergeCell ref="D51:E51"/>
    <mergeCell ref="F51:G51"/>
    <mergeCell ref="D52:E52"/>
    <mergeCell ref="F52:G52"/>
    <mergeCell ref="D53:E53"/>
    <mergeCell ref="F53:G53"/>
    <mergeCell ref="D55:E55"/>
    <mergeCell ref="F55:G55"/>
    <mergeCell ref="D54:E54"/>
    <mergeCell ref="F54:G54"/>
    <mergeCell ref="D56:E56"/>
    <mergeCell ref="F56:G56"/>
    <mergeCell ref="D60:E60"/>
    <mergeCell ref="F60:G60"/>
    <mergeCell ref="D61:E61"/>
    <mergeCell ref="F61:G61"/>
    <mergeCell ref="D57:E57"/>
    <mergeCell ref="F57:G57"/>
    <mergeCell ref="D58:E58"/>
    <mergeCell ref="F58:G58"/>
    <mergeCell ref="D59:E59"/>
    <mergeCell ref="F59:G59"/>
  </mergeCells>
  <conditionalFormatting sqref="E13">
    <cfRule type="colorScale" priority="2">
      <colorScale>
        <cfvo type="num" val="0"/>
        <cfvo type="max"/>
        <color theme="0"/>
        <color rgb="FFFFEF9C"/>
      </colorScale>
    </cfRule>
  </conditionalFormatting>
  <conditionalFormatting sqref="E126:E128 E124 E132">
    <cfRule type="colorScale" priority="1">
      <colorScale>
        <cfvo type="num" val="0"/>
        <cfvo type="max"/>
        <color theme="0"/>
        <color rgb="FFFFEF9C"/>
      </colorScale>
    </cfRule>
  </conditionalFormatting>
  <pageMargins left="0.25" right="0.25" top="0.72" bottom="0.57999999999999996" header="0.3" footer="0.18"/>
  <pageSetup scale="96" orientation="portrait" r:id="rId1"/>
  <colBreaks count="1" manualBreakCount="1">
    <brk id="7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46"/>
  <sheetViews>
    <sheetView tabSelected="1" workbookViewId="0">
      <selection activeCell="E9" sqref="E9"/>
    </sheetView>
  </sheetViews>
  <sheetFormatPr defaultRowHeight="15" x14ac:dyDescent="0.25"/>
  <cols>
    <col min="3" max="3" width="11.7109375" customWidth="1"/>
    <col min="4" max="4" width="12" bestFit="1" customWidth="1"/>
    <col min="5" max="5" width="15.42578125" customWidth="1"/>
    <col min="6" max="6" width="14.140625" customWidth="1"/>
    <col min="7" max="7" width="15" customWidth="1"/>
    <col min="10" max="10" width="10" customWidth="1"/>
    <col min="11" max="11" width="7.85546875" customWidth="1"/>
    <col min="12" max="12" width="14.140625" customWidth="1"/>
    <col min="13" max="13" width="13" customWidth="1"/>
  </cols>
  <sheetData>
    <row r="3" spans="1:13" x14ac:dyDescent="0.25">
      <c r="E3" s="56"/>
      <c r="F3" s="58"/>
      <c r="G3" s="59"/>
      <c r="H3" s="8"/>
      <c r="L3" s="58"/>
      <c r="M3" s="148"/>
    </row>
    <row r="4" spans="1:13" x14ac:dyDescent="0.25">
      <c r="A4" s="245" t="s">
        <v>953</v>
      </c>
      <c r="B4" s="246"/>
      <c r="C4" s="280" t="s">
        <v>954</v>
      </c>
      <c r="D4" s="280"/>
      <c r="E4" s="281"/>
      <c r="F4" s="56"/>
      <c r="G4" s="57"/>
      <c r="H4" s="8"/>
      <c r="L4" s="58" t="s">
        <v>463</v>
      </c>
      <c r="M4" s="59" t="s">
        <v>842</v>
      </c>
    </row>
    <row r="5" spans="1:13" x14ac:dyDescent="0.25">
      <c r="A5" s="245" t="s">
        <v>955</v>
      </c>
      <c r="B5" s="246"/>
      <c r="C5" s="280" t="s">
        <v>273</v>
      </c>
      <c r="D5" s="280"/>
      <c r="E5" s="149"/>
      <c r="F5" s="56"/>
      <c r="G5" s="57"/>
      <c r="H5" s="8"/>
      <c r="L5" s="58" t="s">
        <v>464</v>
      </c>
      <c r="M5" s="59" t="s">
        <v>465</v>
      </c>
    </row>
    <row r="6" spans="1:13" x14ac:dyDescent="0.25">
      <c r="A6" s="245" t="s">
        <v>956</v>
      </c>
      <c r="B6" s="246"/>
      <c r="C6" s="280" t="s">
        <v>957</v>
      </c>
      <c r="D6" s="280"/>
      <c r="E6" s="56"/>
      <c r="F6" s="56"/>
      <c r="G6" s="57"/>
      <c r="H6" s="8"/>
    </row>
    <row r="7" spans="1:13" x14ac:dyDescent="0.25">
      <c r="A7" s="55"/>
      <c r="B7" s="56"/>
      <c r="C7" s="56"/>
      <c r="D7" s="56"/>
      <c r="E7" s="283" t="s">
        <v>1051</v>
      </c>
      <c r="F7" s="284"/>
      <c r="G7" s="284"/>
      <c r="H7" s="284"/>
      <c r="I7" s="284"/>
      <c r="J7" s="284"/>
    </row>
    <row r="8" spans="1:13" x14ac:dyDescent="0.25">
      <c r="E8" s="283" t="s">
        <v>1079</v>
      </c>
      <c r="F8" s="284"/>
      <c r="G8" s="284"/>
      <c r="H8" s="284"/>
      <c r="I8" s="284"/>
      <c r="J8" s="284"/>
    </row>
    <row r="10" spans="1:13" ht="63.75" x14ac:dyDescent="0.25">
      <c r="A10" s="285" t="s">
        <v>958</v>
      </c>
      <c r="B10" s="285"/>
      <c r="C10" s="285"/>
      <c r="D10" s="150" t="s">
        <v>959</v>
      </c>
      <c r="E10" s="150" t="s">
        <v>960</v>
      </c>
      <c r="F10" s="150" t="s">
        <v>961</v>
      </c>
      <c r="G10" s="150" t="s">
        <v>962</v>
      </c>
      <c r="H10" s="150" t="s">
        <v>963</v>
      </c>
      <c r="I10" s="150" t="s">
        <v>964</v>
      </c>
      <c r="J10" s="150" t="s">
        <v>965</v>
      </c>
      <c r="K10" s="150" t="s">
        <v>966</v>
      </c>
      <c r="L10" s="150" t="s">
        <v>967</v>
      </c>
      <c r="M10" s="150" t="s">
        <v>968</v>
      </c>
    </row>
    <row r="11" spans="1:13" ht="27" customHeight="1" x14ac:dyDescent="0.25">
      <c r="A11" s="286" t="s">
        <v>969</v>
      </c>
      <c r="B11" s="286"/>
      <c r="C11" s="286"/>
      <c r="D11" s="151">
        <v>1600000</v>
      </c>
      <c r="E11" s="151"/>
      <c r="F11" s="151"/>
      <c r="G11" s="151"/>
      <c r="H11" s="151"/>
      <c r="I11" s="151"/>
      <c r="J11" s="151"/>
      <c r="K11" s="151"/>
      <c r="L11" s="151">
        <v>3516</v>
      </c>
      <c r="M11" s="151">
        <v>1603516</v>
      </c>
    </row>
    <row r="12" spans="1:13" ht="27" customHeight="1" x14ac:dyDescent="0.25">
      <c r="A12" s="282" t="s">
        <v>970</v>
      </c>
      <c r="B12" s="282"/>
      <c r="C12" s="282"/>
      <c r="D12" s="151"/>
      <c r="E12" s="151"/>
      <c r="F12" s="151"/>
      <c r="G12" s="151"/>
      <c r="H12" s="151"/>
      <c r="I12" s="151"/>
      <c r="J12" s="151"/>
      <c r="K12" s="151"/>
      <c r="L12" s="151"/>
      <c r="M12" s="151"/>
    </row>
    <row r="13" spans="1:13" ht="27" customHeight="1" x14ac:dyDescent="0.25">
      <c r="A13" s="282" t="s">
        <v>971</v>
      </c>
      <c r="B13" s="282"/>
      <c r="C13" s="282"/>
      <c r="D13" s="151"/>
      <c r="E13" s="151"/>
      <c r="F13" s="151"/>
      <c r="G13" s="151"/>
      <c r="H13" s="151"/>
      <c r="I13" s="151"/>
      <c r="J13" s="151"/>
      <c r="K13" s="151"/>
      <c r="L13" s="151"/>
      <c r="M13" s="151"/>
    </row>
    <row r="14" spans="1:13" ht="27" customHeight="1" x14ac:dyDescent="0.25">
      <c r="A14" s="282" t="s">
        <v>972</v>
      </c>
      <c r="B14" s="282"/>
      <c r="C14" s="282"/>
      <c r="D14" s="151"/>
      <c r="E14" s="151"/>
      <c r="F14" s="151"/>
      <c r="G14" s="151"/>
      <c r="H14" s="151"/>
      <c r="I14" s="151"/>
      <c r="J14" s="151"/>
      <c r="K14" s="151"/>
      <c r="L14" s="151"/>
      <c r="M14" s="151"/>
    </row>
    <row r="15" spans="1:13" ht="27" customHeight="1" x14ac:dyDescent="0.25">
      <c r="A15" s="282" t="s">
        <v>973</v>
      </c>
      <c r="B15" s="282"/>
      <c r="C15" s="282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1:13" ht="27" customHeight="1" x14ac:dyDescent="0.25">
      <c r="A16" s="282" t="s">
        <v>974</v>
      </c>
      <c r="B16" s="282"/>
      <c r="C16" s="282"/>
      <c r="D16" s="151"/>
      <c r="E16" s="151"/>
      <c r="F16" s="151"/>
      <c r="G16" s="151"/>
      <c r="H16" s="151"/>
      <c r="I16" s="151"/>
      <c r="J16" s="151"/>
      <c r="K16" s="151"/>
      <c r="L16" s="151"/>
      <c r="M16" s="151"/>
    </row>
    <row r="17" spans="1:14" ht="27" customHeight="1" x14ac:dyDescent="0.25">
      <c r="A17" s="282" t="s">
        <v>975</v>
      </c>
      <c r="B17" s="282"/>
      <c r="C17" s="282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1:14" ht="27" customHeight="1" x14ac:dyDescent="0.25">
      <c r="A18" s="282" t="s">
        <v>976</v>
      </c>
      <c r="B18" s="282"/>
      <c r="C18" s="282"/>
      <c r="D18" s="151"/>
      <c r="E18" s="151"/>
      <c r="F18" s="151"/>
      <c r="G18" s="151"/>
      <c r="H18" s="151"/>
      <c r="I18" s="151"/>
      <c r="J18" s="151"/>
      <c r="K18" s="151"/>
      <c r="L18" s="151">
        <v>-94726.850000000559</v>
      </c>
      <c r="M18" s="151">
        <v>-94726.850000000559</v>
      </c>
    </row>
    <row r="19" spans="1:14" ht="27" customHeight="1" x14ac:dyDescent="0.25">
      <c r="A19" s="282" t="s">
        <v>977</v>
      </c>
      <c r="B19" s="282"/>
      <c r="C19" s="282"/>
      <c r="D19" s="151">
        <v>300000</v>
      </c>
      <c r="E19" s="151"/>
      <c r="F19" s="151"/>
      <c r="G19" s="151"/>
      <c r="H19" s="151"/>
      <c r="I19" s="151"/>
      <c r="J19" s="151"/>
      <c r="K19" s="151"/>
      <c r="L19" s="151"/>
      <c r="M19" s="151">
        <v>300000</v>
      </c>
    </row>
    <row r="20" spans="1:14" ht="27" customHeight="1" x14ac:dyDescent="0.25">
      <c r="A20" s="282" t="s">
        <v>978</v>
      </c>
      <c r="B20" s="282"/>
      <c r="C20" s="282"/>
      <c r="D20" s="151"/>
      <c r="E20" s="151"/>
      <c r="F20" s="151"/>
      <c r="G20" s="151"/>
      <c r="H20" s="151"/>
      <c r="I20" s="151"/>
      <c r="J20" s="151"/>
      <c r="K20" s="151"/>
      <c r="L20" s="151"/>
      <c r="M20" s="151"/>
    </row>
    <row r="21" spans="1:14" ht="27" customHeight="1" x14ac:dyDescent="0.25">
      <c r="A21" s="282" t="s">
        <v>979</v>
      </c>
      <c r="B21" s="282"/>
      <c r="C21" s="282"/>
      <c r="D21" s="151"/>
      <c r="E21" s="151"/>
      <c r="F21" s="151"/>
      <c r="G21" s="151"/>
      <c r="H21" s="151"/>
      <c r="I21" s="151"/>
      <c r="J21" s="151"/>
      <c r="K21" s="151"/>
      <c r="L21" s="151"/>
      <c r="M21" s="151"/>
    </row>
    <row r="22" spans="1:14" ht="27" customHeight="1" x14ac:dyDescent="0.25">
      <c r="A22" s="286" t="s">
        <v>1046</v>
      </c>
      <c r="B22" s="286"/>
      <c r="C22" s="286"/>
      <c r="D22" s="151">
        <v>1900000</v>
      </c>
      <c r="E22" s="151"/>
      <c r="F22" s="151"/>
      <c r="G22" s="151"/>
      <c r="H22" s="151"/>
      <c r="I22" s="151"/>
      <c r="J22" s="151"/>
      <c r="K22" s="151"/>
      <c r="L22" s="151">
        <v>-91210.850000000559</v>
      </c>
      <c r="M22" s="151">
        <v>1808789.1499999994</v>
      </c>
      <c r="N22" s="152"/>
    </row>
    <row r="23" spans="1:14" ht="27" customHeight="1" x14ac:dyDescent="0.25">
      <c r="A23" s="287"/>
      <c r="B23" s="288"/>
      <c r="C23" s="288"/>
      <c r="D23" s="288"/>
      <c r="E23" s="288"/>
      <c r="F23" s="288"/>
      <c r="G23" s="288"/>
      <c r="H23" s="288"/>
      <c r="I23" s="288"/>
      <c r="J23" s="288"/>
      <c r="K23" s="288"/>
      <c r="L23" s="288"/>
      <c r="M23" s="289"/>
    </row>
    <row r="24" spans="1:14" ht="27" customHeight="1" x14ac:dyDescent="0.25">
      <c r="A24" s="286" t="s">
        <v>980</v>
      </c>
      <c r="B24" s="286"/>
      <c r="C24" s="286"/>
      <c r="D24" s="151">
        <f>+D22</f>
        <v>1900000</v>
      </c>
      <c r="E24" s="151"/>
      <c r="F24" s="151"/>
      <c r="G24" s="151"/>
      <c r="H24" s="151"/>
      <c r="I24" s="151"/>
      <c r="J24" s="151"/>
      <c r="K24" s="151"/>
      <c r="L24" s="151">
        <f>+L22</f>
        <v>-91210.850000000559</v>
      </c>
      <c r="M24" s="151">
        <f>+D24+L24</f>
        <v>1808789.1499999994</v>
      </c>
    </row>
    <row r="25" spans="1:14" ht="27" customHeight="1" x14ac:dyDescent="0.25">
      <c r="A25" s="282" t="s">
        <v>981</v>
      </c>
      <c r="B25" s="282"/>
      <c r="C25" s="282"/>
      <c r="D25" s="151"/>
      <c r="E25" s="151"/>
      <c r="F25" s="151"/>
      <c r="G25" s="151"/>
      <c r="H25" s="151"/>
      <c r="I25" s="151"/>
      <c r="J25" s="151"/>
      <c r="K25" s="151"/>
      <c r="L25" s="151"/>
      <c r="M25" s="151"/>
    </row>
    <row r="26" spans="1:14" ht="27" customHeight="1" x14ac:dyDescent="0.25">
      <c r="A26" s="282" t="s">
        <v>971</v>
      </c>
      <c r="B26" s="282"/>
      <c r="C26" s="282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1:14" ht="27" customHeight="1" x14ac:dyDescent="0.25">
      <c r="A27" s="282" t="s">
        <v>982</v>
      </c>
      <c r="B27" s="282"/>
      <c r="C27" s="282"/>
      <c r="D27" s="151"/>
      <c r="E27" s="151"/>
      <c r="F27" s="151"/>
      <c r="G27" s="151"/>
      <c r="H27" s="151"/>
      <c r="I27" s="151"/>
      <c r="J27" s="151"/>
      <c r="K27" s="151"/>
      <c r="L27" s="151"/>
      <c r="M27" s="151"/>
    </row>
    <row r="28" spans="1:14" ht="27" customHeight="1" x14ac:dyDescent="0.25">
      <c r="A28" s="282" t="s">
        <v>973</v>
      </c>
      <c r="B28" s="282"/>
      <c r="C28" s="282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1:14" ht="27" customHeight="1" x14ac:dyDescent="0.25">
      <c r="A29" s="282" t="s">
        <v>974</v>
      </c>
      <c r="B29" s="282"/>
      <c r="C29" s="282"/>
      <c r="D29" s="151"/>
      <c r="E29" s="151"/>
      <c r="F29" s="151"/>
      <c r="G29" s="151"/>
      <c r="H29" s="151"/>
      <c r="I29" s="151"/>
      <c r="J29" s="151"/>
      <c r="K29" s="151"/>
      <c r="L29" s="151"/>
      <c r="M29" s="151"/>
    </row>
    <row r="30" spans="1:14" ht="27" customHeight="1" x14ac:dyDescent="0.25">
      <c r="A30" s="282" t="s">
        <v>975</v>
      </c>
      <c r="B30" s="282"/>
      <c r="C30" s="282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1:14" ht="27" customHeight="1" x14ac:dyDescent="0.25">
      <c r="A31" s="282" t="s">
        <v>983</v>
      </c>
      <c r="B31" s="282"/>
      <c r="C31" s="282"/>
      <c r="D31" s="151"/>
      <c r="E31" s="151"/>
      <c r="F31" s="151"/>
      <c r="G31" s="151"/>
      <c r="H31" s="151"/>
      <c r="I31" s="151"/>
      <c r="J31" s="151"/>
      <c r="K31" s="151"/>
      <c r="L31" s="151">
        <f>+'Bruto bilans'!F262</f>
        <v>-35803.079999999783</v>
      </c>
      <c r="M31" s="151">
        <f>+L31</f>
        <v>-35803.079999999783</v>
      </c>
    </row>
    <row r="32" spans="1:14" ht="27" customHeight="1" x14ac:dyDescent="0.25">
      <c r="A32" s="282" t="s">
        <v>977</v>
      </c>
      <c r="B32" s="282"/>
      <c r="C32" s="282"/>
      <c r="D32" s="151"/>
      <c r="E32" s="151"/>
      <c r="F32" s="151"/>
      <c r="G32" s="151"/>
      <c r="H32" s="151"/>
      <c r="I32" s="151"/>
      <c r="J32" s="151"/>
      <c r="K32" s="151"/>
      <c r="L32" s="151"/>
      <c r="M32" s="151">
        <f>+SUM(D32:L32)</f>
        <v>0</v>
      </c>
    </row>
    <row r="33" spans="1:15" ht="27" customHeight="1" x14ac:dyDescent="0.25">
      <c r="A33" s="282" t="s">
        <v>978</v>
      </c>
      <c r="B33" s="282"/>
      <c r="C33" s="282"/>
      <c r="D33" s="151"/>
      <c r="E33" s="151"/>
      <c r="F33" s="151"/>
      <c r="G33" s="151"/>
      <c r="H33" s="151"/>
      <c r="I33" s="151"/>
      <c r="J33" s="151"/>
      <c r="K33" s="151"/>
      <c r="L33" s="151"/>
      <c r="M33" s="151"/>
    </row>
    <row r="34" spans="1:15" ht="27" customHeight="1" x14ac:dyDescent="0.25">
      <c r="A34" s="282" t="s">
        <v>979</v>
      </c>
      <c r="B34" s="282"/>
      <c r="C34" s="282"/>
      <c r="D34" s="151"/>
      <c r="E34" s="151"/>
      <c r="F34" s="151"/>
      <c r="G34" s="151"/>
      <c r="H34" s="151"/>
      <c r="I34" s="151"/>
      <c r="J34" s="151"/>
      <c r="K34" s="151"/>
      <c r="L34" s="151"/>
      <c r="M34" s="151"/>
    </row>
    <row r="35" spans="1:15" ht="27" customHeight="1" x14ac:dyDescent="0.25">
      <c r="A35" s="286" t="s">
        <v>1068</v>
      </c>
      <c r="B35" s="286"/>
      <c r="C35" s="286"/>
      <c r="D35" s="151">
        <f>+D24+D32</f>
        <v>1900000</v>
      </c>
      <c r="E35" s="151"/>
      <c r="F35" s="151"/>
      <c r="G35" s="151"/>
      <c r="H35" s="151"/>
      <c r="I35" s="151"/>
      <c r="J35" s="151"/>
      <c r="K35" s="151"/>
      <c r="L35" s="151">
        <f>+SUM(L24:L34)</f>
        <v>-127013.93000000034</v>
      </c>
      <c r="M35" s="151">
        <f>+SUM(M24:M34)</f>
        <v>1772986.0699999996</v>
      </c>
      <c r="O35" s="152"/>
    </row>
    <row r="37" spans="1:15" x14ac:dyDescent="0.25">
      <c r="M37" s="152"/>
    </row>
    <row r="38" spans="1:15" x14ac:dyDescent="0.25">
      <c r="A38" t="s">
        <v>984</v>
      </c>
      <c r="E38" s="294" t="s">
        <v>985</v>
      </c>
      <c r="F38" s="281"/>
      <c r="G38" s="281"/>
      <c r="H38" s="281"/>
      <c r="K38" s="294" t="s">
        <v>490</v>
      </c>
      <c r="L38" s="281"/>
    </row>
    <row r="39" spans="1:15" x14ac:dyDescent="0.25">
      <c r="A39" s="153" t="s">
        <v>487</v>
      </c>
      <c r="B39" s="290">
        <f>+'BILANS STANJA'!B118</f>
        <v>42845</v>
      </c>
      <c r="C39" s="291"/>
    </row>
    <row r="40" spans="1:15" x14ac:dyDescent="0.25">
      <c r="E40" s="69"/>
      <c r="F40" s="69"/>
      <c r="G40" s="69"/>
      <c r="H40" s="69"/>
      <c r="I40" s="284" t="s">
        <v>489</v>
      </c>
      <c r="J40" s="284"/>
      <c r="K40" s="69"/>
      <c r="L40" s="69"/>
    </row>
    <row r="41" spans="1:15" x14ac:dyDescent="0.25">
      <c r="I41" s="284"/>
      <c r="J41" s="284"/>
    </row>
    <row r="43" spans="1:15" x14ac:dyDescent="0.25">
      <c r="B43" s="292" t="s">
        <v>986</v>
      </c>
      <c r="C43" s="293"/>
      <c r="D43" s="293"/>
      <c r="K43" s="292" t="s">
        <v>491</v>
      </c>
      <c r="L43" s="293"/>
    </row>
    <row r="44" spans="1:15" x14ac:dyDescent="0.25">
      <c r="B44" s="293"/>
      <c r="C44" s="293"/>
      <c r="D44" s="293"/>
      <c r="K44" s="293"/>
      <c r="L44" s="293"/>
    </row>
    <row r="45" spans="1:15" x14ac:dyDescent="0.25">
      <c r="B45" s="293"/>
      <c r="C45" s="293"/>
      <c r="D45" s="293"/>
      <c r="K45" s="293"/>
      <c r="L45" s="293"/>
    </row>
    <row r="46" spans="1:15" x14ac:dyDescent="0.25">
      <c r="B46" s="293"/>
      <c r="C46" s="293"/>
      <c r="D46" s="293"/>
      <c r="K46" s="293"/>
      <c r="L46" s="293"/>
    </row>
  </sheetData>
  <mergeCells count="40">
    <mergeCell ref="B39:C39"/>
    <mergeCell ref="I40:J41"/>
    <mergeCell ref="B43:D46"/>
    <mergeCell ref="K43:L46"/>
    <mergeCell ref="A32:C32"/>
    <mergeCell ref="A33:C33"/>
    <mergeCell ref="A34:C34"/>
    <mergeCell ref="A35:C35"/>
    <mergeCell ref="E38:H38"/>
    <mergeCell ref="K38:L38"/>
    <mergeCell ref="A31:C31"/>
    <mergeCell ref="A20:C20"/>
    <mergeCell ref="A21:C21"/>
    <mergeCell ref="A22:C22"/>
    <mergeCell ref="A23:M23"/>
    <mergeCell ref="A24:C24"/>
    <mergeCell ref="A25:C25"/>
    <mergeCell ref="A26:C26"/>
    <mergeCell ref="A27:C27"/>
    <mergeCell ref="A28:C28"/>
    <mergeCell ref="A29:C29"/>
    <mergeCell ref="A30:C30"/>
    <mergeCell ref="A19:C19"/>
    <mergeCell ref="E7:J7"/>
    <mergeCell ref="E8:J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4:B4"/>
    <mergeCell ref="C4:E4"/>
    <mergeCell ref="A5:B5"/>
    <mergeCell ref="C5:D5"/>
    <mergeCell ref="A6:B6"/>
    <mergeCell ref="C6:D6"/>
  </mergeCells>
  <pageMargins left="0.25" right="0.25" top="0.75" bottom="0.75" header="0.3" footer="0.3"/>
  <pageSetup paperSize="9" scale="91" orientation="landscape" r:id="rId1"/>
  <rowBreaks count="1" manualBreakCount="1">
    <brk id="2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Bruto bilans</vt:lpstr>
      <vt:lpstr>BILANS STANJA</vt:lpstr>
      <vt:lpstr>BILANS USPJEHA</vt:lpstr>
      <vt:lpstr>Promjena na kapitalu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2017-04-20T09:54:39Z</dcterms:modified>
</cp:coreProperties>
</file>